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80" yWindow="-12" windowWidth="7452" windowHeight="9216" activeTab="3"/>
  </bookViews>
  <sheets>
    <sheet name="Explanation" sheetId="7" r:id="rId1"/>
    <sheet name="Bache 1964 AK" sheetId="2" r:id="rId2"/>
    <sheet name="Bache 2011 Japan" sheetId="6" r:id="rId3"/>
    <sheet name="Bache 2010 Chile" sheetId="8" r:id="rId4"/>
    <sheet name="original" sheetId="1" r:id="rId5"/>
  </sheets>
  <definedNames>
    <definedName name="_xlnm.Print_Area" localSheetId="1">'Bache 1964 AK'!$B$1:$L$37</definedName>
    <definedName name="_xlnm.Print_Area" localSheetId="2">'Bache 2011 Japan'!$B$1:$L$39</definedName>
  </definedNames>
  <calcPr calcId="144525"/>
</workbook>
</file>

<file path=xl/calcChain.xml><?xml version="1.0" encoding="utf-8"?>
<calcChain xmlns="http://schemas.openxmlformats.org/spreadsheetml/2006/main">
  <c r="F21" i="8" l="1"/>
  <c r="G21" i="8" s="1"/>
  <c r="H21" i="8" s="1"/>
  <c r="I21" i="8" s="1"/>
  <c r="F20" i="8"/>
  <c r="G20" i="8" s="1"/>
  <c r="H20" i="8" s="1"/>
  <c r="I20" i="8" s="1"/>
  <c r="F19" i="8"/>
  <c r="G19" i="8" s="1"/>
  <c r="H19" i="8" s="1"/>
  <c r="I19" i="8" s="1"/>
  <c r="F18" i="8"/>
  <c r="G18" i="8" s="1"/>
  <c r="H18" i="8" s="1"/>
  <c r="I18" i="8" s="1"/>
  <c r="D18" i="8"/>
  <c r="G17" i="8"/>
  <c r="H17" i="8" s="1"/>
  <c r="I17" i="8" s="1"/>
  <c r="F17" i="8"/>
  <c r="G16" i="8"/>
  <c r="F16" i="8"/>
  <c r="D16" i="8"/>
  <c r="H16" i="8" s="1"/>
  <c r="I16" i="8" s="1"/>
  <c r="F15" i="8"/>
  <c r="G15" i="8" s="1"/>
  <c r="H15" i="8" s="1"/>
  <c r="I15" i="8" s="1"/>
  <c r="F14" i="8"/>
  <c r="G14" i="8" s="1"/>
  <c r="H14" i="8" s="1"/>
  <c r="I14" i="8" s="1"/>
  <c r="D14" i="8"/>
  <c r="G13" i="8"/>
  <c r="H13" i="8" s="1"/>
  <c r="I13" i="8" s="1"/>
  <c r="F13" i="8"/>
  <c r="G12" i="8"/>
  <c r="H12" i="8" s="1"/>
  <c r="I12" i="8" s="1"/>
  <c r="F12" i="8"/>
  <c r="G11" i="8"/>
  <c r="H11" i="8" s="1"/>
  <c r="I11" i="8" s="1"/>
  <c r="F11" i="8"/>
  <c r="G10" i="8"/>
  <c r="H10" i="8" s="1"/>
  <c r="I10" i="8" s="1"/>
  <c r="F10" i="8"/>
  <c r="G9" i="8"/>
  <c r="H9" i="8" s="1"/>
  <c r="I9" i="8" s="1"/>
  <c r="F9" i="8"/>
  <c r="G8" i="8"/>
  <c r="H8" i="8" s="1"/>
  <c r="I8" i="8" s="1"/>
  <c r="F8" i="8"/>
  <c r="G7" i="8"/>
  <c r="H7" i="8" s="1"/>
  <c r="I7" i="8" s="1"/>
  <c r="F7" i="8"/>
  <c r="D19" i="6" l="1"/>
  <c r="D10" i="6" l="1"/>
  <c r="D8" i="6"/>
  <c r="E5" i="6" l="1"/>
  <c r="G17" i="6" s="1"/>
  <c r="H17" i="6" s="1"/>
  <c r="I17" i="6" s="1"/>
  <c r="G15" i="6"/>
  <c r="H15" i="6" s="1"/>
  <c r="I15" i="6" s="1"/>
  <c r="G11" i="6"/>
  <c r="H11" i="6" s="1"/>
  <c r="I11" i="6" s="1"/>
  <c r="F13" i="2"/>
  <c r="F14" i="2"/>
  <c r="F15" i="2"/>
  <c r="F16" i="2"/>
  <c r="F17" i="2"/>
  <c r="F18" i="2"/>
  <c r="F10" i="2"/>
  <c r="F11" i="2"/>
  <c r="F12" i="2"/>
  <c r="F9" i="2"/>
  <c r="F7" i="2"/>
  <c r="F8" i="2"/>
  <c r="F6" i="2"/>
  <c r="G17" i="2"/>
  <c r="D17" i="2"/>
  <c r="H17" i="2"/>
  <c r="I17" i="2"/>
  <c r="D14" i="2"/>
  <c r="G14" i="2"/>
  <c r="H14" i="2"/>
  <c r="I14" i="2"/>
  <c r="G11" i="2"/>
  <c r="H11" i="2"/>
  <c r="I11" i="2"/>
  <c r="G6" i="2"/>
  <c r="H6" i="2"/>
  <c r="I6" i="2"/>
  <c r="G7" i="2"/>
  <c r="H7" i="2"/>
  <c r="I7" i="2"/>
  <c r="H9" i="2"/>
  <c r="I9" i="2"/>
  <c r="H15" i="2"/>
  <c r="I15" i="2"/>
  <c r="G8" i="2"/>
  <c r="H8" i="2"/>
  <c r="I8" i="2"/>
  <c r="G9" i="2"/>
  <c r="G10" i="2"/>
  <c r="H10" i="2"/>
  <c r="I10" i="2"/>
  <c r="G12" i="2"/>
  <c r="H12" i="2"/>
  <c r="I12" i="2"/>
  <c r="G13" i="2"/>
  <c r="H13" i="2"/>
  <c r="I13" i="2"/>
  <c r="G15" i="2"/>
  <c r="G16" i="2"/>
  <c r="H16" i="2"/>
  <c r="I16" i="2"/>
  <c r="G18" i="2"/>
  <c r="H18" i="2"/>
  <c r="I18" i="2"/>
  <c r="F11" i="1"/>
  <c r="G11" i="1"/>
  <c r="H11" i="1"/>
  <c r="F7" i="1"/>
  <c r="G7" i="1"/>
  <c r="H7" i="1"/>
  <c r="F8" i="1"/>
  <c r="G8" i="1"/>
  <c r="H8" i="1"/>
  <c r="F9" i="1"/>
  <c r="G9" i="1"/>
  <c r="H9" i="1"/>
  <c r="F10" i="1"/>
  <c r="G10" i="1"/>
  <c r="H10" i="1"/>
  <c r="F12" i="1"/>
  <c r="G12" i="1"/>
  <c r="H12" i="1"/>
  <c r="F13" i="1"/>
  <c r="G13" i="1"/>
  <c r="H13" i="1"/>
  <c r="F14" i="1"/>
  <c r="G14" i="1"/>
  <c r="H14" i="1"/>
  <c r="F15" i="1"/>
  <c r="G15" i="1"/>
  <c r="H15" i="1"/>
  <c r="H6" i="1"/>
  <c r="F6" i="1"/>
  <c r="G13" i="6" l="1"/>
  <c r="H13" i="6" s="1"/>
  <c r="I13" i="6" s="1"/>
  <c r="G18" i="6"/>
  <c r="H18" i="6" s="1"/>
  <c r="I18" i="6" s="1"/>
  <c r="F19" i="6"/>
  <c r="G20" i="6"/>
  <c r="H20" i="6" s="1"/>
  <c r="I20" i="6" s="1"/>
  <c r="F20" i="6"/>
  <c r="G19" i="6"/>
  <c r="H19" i="6" s="1"/>
  <c r="I19" i="6" s="1"/>
  <c r="G10" i="6"/>
  <c r="H10" i="6" s="1"/>
  <c r="I10" i="6" s="1"/>
  <c r="F7" i="6"/>
  <c r="G8" i="6"/>
  <c r="H8" i="6" s="1"/>
  <c r="I8" i="6" s="1"/>
  <c r="F10" i="6"/>
  <c r="G7" i="6"/>
  <c r="H7" i="6" s="1"/>
  <c r="I7" i="6" s="1"/>
  <c r="F8" i="6"/>
  <c r="F6" i="6"/>
  <c r="F9" i="6"/>
  <c r="F12" i="6"/>
  <c r="F14" i="6"/>
  <c r="G16" i="6"/>
  <c r="H16" i="6" s="1"/>
  <c r="I16" i="6" s="1"/>
  <c r="F18" i="6"/>
  <c r="G6" i="6"/>
  <c r="H6" i="6" s="1"/>
  <c r="I6" i="6" s="1"/>
  <c r="G9" i="6"/>
  <c r="H9" i="6" s="1"/>
  <c r="I9" i="6" s="1"/>
  <c r="F11" i="6"/>
  <c r="G12" i="6"/>
  <c r="H12" i="6" s="1"/>
  <c r="I12" i="6" s="1"/>
  <c r="F13" i="6"/>
  <c r="G14" i="6"/>
  <c r="H14" i="6" s="1"/>
  <c r="I14" i="6" s="1"/>
  <c r="F15" i="6"/>
  <c r="F16" i="6"/>
  <c r="F17" i="6"/>
</calcChain>
</file>

<file path=xl/comments1.xml><?xml version="1.0" encoding="utf-8"?>
<comments xmlns="http://schemas.openxmlformats.org/spreadsheetml/2006/main">
  <authors>
    <author>Martin Farley</author>
  </authors>
  <commentList>
    <comment ref="C3" authorId="0">
      <text>
        <r>
          <rPr>
            <b/>
            <sz val="10"/>
            <color indexed="81"/>
            <rFont val="Tahoma"/>
            <family val="2"/>
          </rPr>
          <t>Martin Farley:</t>
        </r>
        <r>
          <rPr>
            <sz val="10"/>
            <color indexed="81"/>
            <rFont val="Tahoma"/>
            <family val="2"/>
          </rPr>
          <t xml:space="preserve">
assumes NAD83</t>
        </r>
      </text>
    </comment>
    <comment ref="D6" authorId="0">
      <text>
        <r>
          <rPr>
            <b/>
            <sz val="10"/>
            <color indexed="81"/>
            <rFont val="Tahoma"/>
            <family val="2"/>
          </rPr>
          <t>Martin Farley:</t>
        </r>
        <r>
          <rPr>
            <sz val="10"/>
            <color indexed="81"/>
            <rFont val="Tahoma"/>
            <family val="2"/>
          </rPr>
          <t xml:space="preserve">
Distance from online calc is 149.27; the distance I use is prob from NOAA database.</t>
        </r>
      </text>
    </comment>
  </commentList>
</comments>
</file>

<file path=xl/comments2.xml><?xml version="1.0" encoding="utf-8"?>
<comments xmlns="http://schemas.openxmlformats.org/spreadsheetml/2006/main">
  <authors>
    <author>Martin Farley</author>
  </authors>
  <commentList>
    <comment ref="C3" authorId="0">
      <text>
        <r>
          <rPr>
            <b/>
            <sz val="10"/>
            <color indexed="81"/>
            <rFont val="Tahoma"/>
            <family val="2"/>
          </rPr>
          <t>Martin Farley:</t>
        </r>
        <r>
          <rPr>
            <sz val="10"/>
            <color indexed="81"/>
            <rFont val="Tahoma"/>
            <family val="2"/>
          </rPr>
          <t xml:space="preserve">
assumes NAD83</t>
        </r>
      </text>
    </comment>
  </commentList>
</comments>
</file>

<file path=xl/comments3.xml><?xml version="1.0" encoding="utf-8"?>
<comments xmlns="http://schemas.openxmlformats.org/spreadsheetml/2006/main">
  <authors>
    <author>Martin Farley</author>
  </authors>
  <commentList>
    <comment ref="C3" authorId="0">
      <text>
        <r>
          <rPr>
            <b/>
            <sz val="10"/>
            <color indexed="81"/>
            <rFont val="Tahoma"/>
            <family val="2"/>
          </rPr>
          <t>Martin Farley:</t>
        </r>
        <r>
          <rPr>
            <sz val="10"/>
            <color indexed="81"/>
            <rFont val="Tahoma"/>
            <family val="2"/>
          </rPr>
          <t xml:space="preserve">
Uses NAD83</t>
        </r>
      </text>
    </comment>
    <comment ref="E9" authorId="0">
      <text>
        <r>
          <rPr>
            <b/>
            <sz val="8"/>
            <color indexed="81"/>
            <rFont val="Tahoma"/>
            <family val="2"/>
          </rPr>
          <t>Martin Farley:</t>
        </r>
        <r>
          <rPr>
            <sz val="8"/>
            <color indexed="81"/>
            <rFont val="Tahoma"/>
            <family val="2"/>
          </rPr>
          <t xml:space="preserve">
10:29 acc to Tsunami Warning Center release</t>
        </r>
      </text>
    </comment>
    <comment ref="E11" authorId="0">
      <text>
        <r>
          <rPr>
            <b/>
            <sz val="8"/>
            <color indexed="81"/>
            <rFont val="Tahoma"/>
            <family val="2"/>
          </rPr>
          <t>Martin Farley:</t>
        </r>
        <r>
          <rPr>
            <sz val="8"/>
            <color indexed="81"/>
            <rFont val="Tahoma"/>
            <family val="2"/>
          </rPr>
          <t xml:space="preserve">
Tsunami Warning Center time</t>
        </r>
      </text>
    </comment>
    <comment ref="E12" authorId="0">
      <text>
        <r>
          <rPr>
            <b/>
            <sz val="8"/>
            <color indexed="81"/>
            <rFont val="Tahoma"/>
            <family val="2"/>
          </rPr>
          <t>Martin Farley:</t>
        </r>
        <r>
          <rPr>
            <sz val="8"/>
            <color indexed="81"/>
            <rFont val="Tahoma"/>
            <family val="2"/>
          </rPr>
          <t xml:space="preserve">
NOAA db time
</t>
        </r>
      </text>
    </comment>
  </commentList>
</comments>
</file>

<file path=xl/sharedStrings.xml><?xml version="1.0" encoding="utf-8"?>
<sst xmlns="http://schemas.openxmlformats.org/spreadsheetml/2006/main" count="135" uniqueCount="75">
  <si>
    <t>Epicenter of Good Friday Earthquake</t>
  </si>
  <si>
    <t>Distance</t>
  </si>
  <si>
    <t>nm</t>
  </si>
  <si>
    <t>km</t>
  </si>
  <si>
    <t>Arrival Time</t>
  </si>
  <si>
    <t>Tofino BC</t>
  </si>
  <si>
    <t>Kodiak AK</t>
  </si>
  <si>
    <t>Crescent City CA</t>
  </si>
  <si>
    <t>Honolulu, HI</t>
  </si>
  <si>
    <t>Kushiro, Japan</t>
  </si>
  <si>
    <t>Kwajalein, Marshall Islands</t>
  </si>
  <si>
    <t>Valdez AK</t>
  </si>
  <si>
    <t>Seward AK</t>
  </si>
  <si>
    <t>Distances from:</t>
  </si>
  <si>
    <t>http://williams.best.vwh.net/gccalc.htm</t>
  </si>
  <si>
    <t>La Punta, Peru</t>
  </si>
  <si>
    <t>Water depth</t>
  </si>
  <si>
    <t>Wave velocity (m/s)</t>
  </si>
  <si>
    <t>Travel Time (sec)</t>
  </si>
  <si>
    <t>Travel time (hr)</t>
  </si>
  <si>
    <t xml:space="preserve">Earthquake occurred </t>
  </si>
  <si>
    <t>GMT</t>
  </si>
  <si>
    <t>Arrival</t>
  </si>
  <si>
    <t>Elapsed Time</t>
  </si>
  <si>
    <t>Calc Celerity</t>
  </si>
  <si>
    <t>Homer AK</t>
  </si>
  <si>
    <t>Sydney, Australia</t>
  </si>
  <si>
    <t>--</t>
  </si>
  <si>
    <t>m/sec</t>
  </si>
  <si>
    <t>seconds</t>
  </si>
  <si>
    <t>Whidbey Bay AK</t>
  </si>
  <si>
    <t>Calc Water depth (m)</t>
  </si>
  <si>
    <t>Hilo, HI</t>
  </si>
  <si>
    <t>NGDC db says arrival in 3 minutes; can't be right (this uses 38 min)</t>
  </si>
  <si>
    <t>Kushiro with intermediate corner (see below)</t>
  </si>
  <si>
    <t>La Punta with intermediate corner (see below)</t>
  </si>
  <si>
    <t>Elapsed time</t>
  </si>
  <si>
    <t>Latitude</t>
  </si>
  <si>
    <t>Longitude</t>
  </si>
  <si>
    <t>Use average depth of ocean to predict arrival time</t>
  </si>
  <si>
    <t>Epicenter of 2011 Japan EQ</t>
  </si>
  <si>
    <t>Earthquake occurred 3/11/2011</t>
  </si>
  <si>
    <t>Location</t>
  </si>
  <si>
    <t>Port Kembla, Australia</t>
  </si>
  <si>
    <t>Kodiak with intermediate corner (see below)</t>
  </si>
  <si>
    <t>Seward with intermediate corner (see below)</t>
  </si>
  <si>
    <t>Port Kembla with intermediate corner (see below)</t>
  </si>
  <si>
    <t>Winter Harbour BC</t>
  </si>
  <si>
    <t>Sheet for Bache depth calc (tsunami lab for ocean depth estimation)</t>
  </si>
  <si>
    <t>Rosslyn Bay, Australia (behind Great Barrier Reef)</t>
  </si>
  <si>
    <t>Sheet for original</t>
  </si>
  <si>
    <t>Sheet for Bache depth calc (tsunami lab for ocean depth estimation.doc)</t>
  </si>
  <si>
    <t>Martin B. Farley</t>
  </si>
  <si>
    <t>Geology, UNC-Pembroke</t>
  </si>
  <si>
    <t>martin.farley@uncp.edu</t>
  </si>
  <si>
    <t>Chile Earthquake, Feb 27 2010</t>
  </si>
  <si>
    <t>Lat</t>
  </si>
  <si>
    <t>Long</t>
  </si>
  <si>
    <t>Amplitude (m)</t>
  </si>
  <si>
    <t>Period (min)</t>
  </si>
  <si>
    <t>Epicenter of Chile Earthquake</t>
  </si>
  <si>
    <t>ANCUD CL</t>
  </si>
  <si>
    <t>ANTOFAGASTA CL</t>
  </si>
  <si>
    <t>CALLAO LA-PUNTA PERU</t>
  </si>
  <si>
    <t>CRESCENT CITY CA</t>
  </si>
  <si>
    <t>HANASAKI HOKKAIDO</t>
  </si>
  <si>
    <t>TOFINO BC</t>
  </si>
  <si>
    <t>Tofino with intermediate corner</t>
  </si>
  <si>
    <t>KODIAK AK</t>
  </si>
  <si>
    <t>Kodiak with intermediate corner</t>
  </si>
  <si>
    <t>SEWARD AK</t>
  </si>
  <si>
    <t>Seward with intermediate corner</t>
  </si>
  <si>
    <t>KAHULUI HI</t>
  </si>
  <si>
    <t>WELLINGTON NZ</t>
  </si>
  <si>
    <t>WAKE ISLAND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</si>
</sst>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F400]h:mm:ss\ AM/PM"/>
    <numFmt numFmtId="165" formatCode="h:mm;@"/>
    <numFmt numFmtId="166" formatCode="[$-409]h:mm:ss\ AM/PM;@"/>
    <numFmt numFmtId="167" formatCode="0.0"/>
    <numFmt numFmtId="168" formatCode="0.000"/>
    <numFmt numFmtId="169" formatCode="[$-409]m/d/yy\ h:mm\ AM/PM;@"/>
  </numFmts>
  <fonts count="10" x14ac:knownFonts="1">
    <font>
      <sz val="10"/>
      <name val="Arial"/>
    </font>
    <font>
      <sz val="8"/>
      <name val="Arial"/>
      <family val="2"/>
    </font>
    <font>
      <u/>
      <sz val="10"/>
      <color indexed="12"/>
      <name val="Arial"/>
      <family val="2"/>
    </font>
    <font>
      <sz val="10"/>
      <color indexed="81"/>
      <name val="Tahoma"/>
      <family val="2"/>
    </font>
    <font>
      <b/>
      <sz val="10"/>
      <color indexed="81"/>
      <name val="Tahoma"/>
      <family val="2"/>
    </font>
    <font>
      <sz val="10"/>
      <name val="Arial"/>
      <family val="2"/>
    </font>
    <font>
      <sz val="10"/>
      <color rgb="FFFF0000"/>
      <name val="Arial"/>
      <family val="2"/>
    </font>
    <font>
      <i/>
      <sz val="10"/>
      <name val="Arial"/>
      <family val="2"/>
    </font>
    <font>
      <b/>
      <sz val="8"/>
      <color indexed="81"/>
      <name val="Tahoma"/>
      <family val="2"/>
    </font>
    <font>
      <sz val="8"/>
      <color indexed="81"/>
      <name val="Tahoma"/>
      <family val="2"/>
    </font>
  </fonts>
  <fills count="2">
    <fill>
      <patternFill patternType="none"/>
    </fill>
    <fill>
      <patternFill patternType="gray125"/>
    </fill>
  </fills>
  <borders count="1">
    <border>
      <left/>
      <right/>
      <top/>
      <bottom/>
      <diagonal/>
    </border>
  </borders>
  <cellStyleXfs count="3">
    <xf numFmtId="0" fontId="0" fillId="0" borderId="0"/>
    <xf numFmtId="0" fontId="2" fillId="0" borderId="0" applyNumberFormat="0" applyFill="0" applyBorder="0" applyAlignment="0" applyProtection="0">
      <alignment vertical="top"/>
      <protection locked="0"/>
    </xf>
    <xf numFmtId="0" fontId="5" fillId="0" borderId="0"/>
  </cellStyleXfs>
  <cellXfs count="43">
    <xf numFmtId="0" fontId="0" fillId="0" borderId="0" xfId="0"/>
    <xf numFmtId="0" fontId="0" fillId="0" borderId="0" xfId="0" applyAlignment="1">
      <alignment horizontal="center"/>
    </xf>
    <xf numFmtId="1" fontId="0" fillId="0" borderId="0" xfId="0" applyNumberFormat="1" applyAlignment="1">
      <alignment horizontal="center"/>
    </xf>
    <xf numFmtId="1" fontId="0" fillId="0" borderId="0" xfId="0" applyNumberFormat="1"/>
    <xf numFmtId="2" fontId="0" fillId="0" borderId="0" xfId="0" applyNumberFormat="1"/>
    <xf numFmtId="164" fontId="0" fillId="0" borderId="0" xfId="0" applyNumberFormat="1"/>
    <xf numFmtId="166" fontId="0" fillId="0" borderId="0" xfId="0" applyNumberFormat="1" applyAlignment="1">
      <alignment horizontal="center"/>
    </xf>
    <xf numFmtId="0" fontId="0" fillId="0" borderId="0" xfId="0" applyAlignment="1">
      <alignment horizontal="left"/>
    </xf>
    <xf numFmtId="165" fontId="0" fillId="0" borderId="0" xfId="0" applyNumberFormat="1" applyAlignment="1">
      <alignment horizontal="center"/>
    </xf>
    <xf numFmtId="0" fontId="2" fillId="0" borderId="0" xfId="1" applyAlignment="1" applyProtection="1"/>
    <xf numFmtId="20" fontId="0" fillId="0" borderId="0" xfId="0" applyNumberFormat="1" applyAlignment="1">
      <alignment horizontal="center"/>
    </xf>
    <xf numFmtId="0" fontId="0" fillId="0" borderId="0" xfId="0" quotePrefix="1" applyAlignment="1">
      <alignment horizontal="center"/>
    </xf>
    <xf numFmtId="1" fontId="0" fillId="0" borderId="0" xfId="0" applyNumberFormat="1" applyAlignment="1">
      <alignment horizontal="left"/>
    </xf>
    <xf numFmtId="167" fontId="0" fillId="0" borderId="0" xfId="0" applyNumberFormat="1" applyAlignment="1">
      <alignment horizontal="center"/>
    </xf>
    <xf numFmtId="0" fontId="0" fillId="0" borderId="0" xfId="0" applyAlignment="1">
      <alignment horizontal="center"/>
    </xf>
    <xf numFmtId="0" fontId="0" fillId="0" borderId="0" xfId="0" applyAlignment="1">
      <alignment horizontal="right"/>
    </xf>
    <xf numFmtId="168" fontId="0" fillId="0" borderId="0" xfId="0" applyNumberFormat="1"/>
    <xf numFmtId="168" fontId="0" fillId="0" borderId="0" xfId="0" quotePrefix="1" applyNumberFormat="1" applyAlignment="1">
      <alignment horizontal="center"/>
    </xf>
    <xf numFmtId="168" fontId="0" fillId="0" borderId="0" xfId="0" applyNumberFormat="1" applyAlignment="1"/>
    <xf numFmtId="0" fontId="0" fillId="0" borderId="0" xfId="0" applyAlignment="1">
      <alignment horizontal="center"/>
    </xf>
    <xf numFmtId="0" fontId="5" fillId="0" borderId="0" xfId="2"/>
    <xf numFmtId="0" fontId="5" fillId="0" borderId="0" xfId="2" applyAlignment="1">
      <alignment horizontal="center"/>
    </xf>
    <xf numFmtId="0" fontId="5" fillId="0" borderId="0" xfId="2" applyAlignment="1">
      <alignment horizontal="center"/>
    </xf>
    <xf numFmtId="0" fontId="5" fillId="0" borderId="0" xfId="2" applyAlignment="1">
      <alignment horizontal="left"/>
    </xf>
    <xf numFmtId="1" fontId="5" fillId="0" borderId="0" xfId="2" applyNumberFormat="1" applyAlignment="1">
      <alignment horizontal="center"/>
    </xf>
    <xf numFmtId="169" fontId="5" fillId="0" borderId="0" xfId="2" applyNumberFormat="1" applyAlignment="1">
      <alignment horizontal="center"/>
    </xf>
    <xf numFmtId="165" fontId="5" fillId="0" borderId="0" xfId="2" applyNumberFormat="1" applyAlignment="1">
      <alignment horizontal="center"/>
    </xf>
    <xf numFmtId="0" fontId="5" fillId="0" borderId="0" xfId="2" quotePrefix="1" applyAlignment="1">
      <alignment horizontal="center"/>
    </xf>
    <xf numFmtId="0" fontId="5" fillId="0" borderId="0" xfId="2" applyFont="1"/>
    <xf numFmtId="1" fontId="5" fillId="0" borderId="0" xfId="2" applyNumberFormat="1" applyFont="1"/>
    <xf numFmtId="1" fontId="5" fillId="0" borderId="0" xfId="2" applyNumberFormat="1" applyFont="1" applyAlignment="1">
      <alignment horizontal="center"/>
    </xf>
    <xf numFmtId="169" fontId="5" fillId="0" borderId="0" xfId="2" applyNumberFormat="1" applyFont="1"/>
    <xf numFmtId="165" fontId="5" fillId="0" borderId="0" xfId="2" applyNumberFormat="1" applyFont="1"/>
    <xf numFmtId="2" fontId="5" fillId="0" borderId="0" xfId="2" applyNumberFormat="1" applyFont="1"/>
    <xf numFmtId="0" fontId="6" fillId="0" borderId="0" xfId="2" applyFont="1"/>
    <xf numFmtId="0" fontId="5" fillId="0" borderId="0" xfId="2" applyFont="1" applyAlignment="1">
      <alignment horizontal="center"/>
    </xf>
    <xf numFmtId="0" fontId="7" fillId="0" borderId="0" xfId="2" applyFont="1"/>
    <xf numFmtId="22" fontId="5" fillId="0" borderId="0" xfId="2" applyNumberFormat="1" applyFont="1"/>
    <xf numFmtId="0" fontId="6" fillId="0" borderId="0" xfId="2" applyFont="1" applyAlignment="1">
      <alignment horizontal="center"/>
    </xf>
    <xf numFmtId="22" fontId="6" fillId="0" borderId="0" xfId="2" applyNumberFormat="1" applyFont="1"/>
    <xf numFmtId="165" fontId="6" fillId="0" borderId="0" xfId="2" applyNumberFormat="1" applyFont="1"/>
    <xf numFmtId="1" fontId="6" fillId="0" borderId="0" xfId="2" applyNumberFormat="1" applyFont="1"/>
    <xf numFmtId="2" fontId="6" fillId="0" borderId="0" xfId="2" applyNumberFormat="1" applyFont="1"/>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76200</xdr:colOff>
      <xdr:row>4</xdr:row>
      <xdr:rowOff>106680</xdr:rowOff>
    </xdr:from>
    <xdr:to>
      <xdr:col>10</xdr:col>
      <xdr:colOff>434340</xdr:colOff>
      <xdr:row>20</xdr:row>
      <xdr:rowOff>68580</xdr:rowOff>
    </xdr:to>
    <xdr:sp macro="" textlink="">
      <xdr:nvSpPr>
        <xdr:cNvPr id="2" name="TextBox 1"/>
        <xdr:cNvSpPr txBox="1"/>
      </xdr:nvSpPr>
      <xdr:spPr>
        <a:xfrm>
          <a:off x="685800" y="777240"/>
          <a:ext cx="5844540" cy="2644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Data and solution for Tsunami</a:t>
          </a:r>
          <a:r>
            <a:rPr lang="en-US" sz="1100" baseline="0"/>
            <a:t> Lab for Ocean Depth estimation</a:t>
          </a:r>
        </a:p>
        <a:p>
          <a:endParaRPr lang="en-US" sz="1100" baseline="0"/>
        </a:p>
        <a:p>
          <a:r>
            <a:rPr lang="en-US" sz="1100" baseline="0"/>
            <a:t>Tabs starting with "Bache" have data and calculations for an approach using the celerity of the tsunami to calculate ocean depth along a route.</a:t>
          </a:r>
        </a:p>
        <a:p>
          <a:endParaRPr lang="en-US" sz="1100" baseline="0"/>
        </a:p>
        <a:p>
          <a:r>
            <a:rPr lang="en-US" sz="1100" baseline="0"/>
            <a:t>The tab labeled "original" has my original lab, which was premised on using an average ocean depth to predict the arrival time at the Alaska locations. I never used this, but someone might find it useful.</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1190625</xdr:colOff>
      <xdr:row>25</xdr:row>
      <xdr:rowOff>121920</xdr:rowOff>
    </xdr:from>
    <xdr:to>
      <xdr:col>8</xdr:col>
      <xdr:colOff>542925</xdr:colOff>
      <xdr:row>38</xdr:row>
      <xdr:rowOff>19064</xdr:rowOff>
    </xdr:to>
    <xdr:sp macro="" textlink="">
      <xdr:nvSpPr>
        <xdr:cNvPr id="2051" name="Text Box 3"/>
        <xdr:cNvSpPr txBox="1">
          <a:spLocks noChangeArrowheads="1"/>
        </xdr:cNvSpPr>
      </xdr:nvSpPr>
      <xdr:spPr bwMode="auto">
        <a:xfrm>
          <a:off x="1762125" y="3838575"/>
          <a:ext cx="5524500" cy="20097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These distances assume a direct great circle is over the ocean everywhere. This is clearly not true for La Punta (great circle traverses North America) and Kushiro (great circle traverses Alaska). If you pick an intermediate point in the ocean to "turn the corner," then you can get as follows: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La Punta            Intermediate pt         30 N, 120 W</a:t>
          </a:r>
        </a:p>
        <a:p>
          <a:pPr algn="l" rtl="0">
            <a:defRPr sz="1000"/>
          </a:pPr>
          <a:r>
            <a:rPr lang="en-US" sz="1000" b="0" i="0" u="none" strike="noStrike" baseline="0">
              <a:solidFill>
                <a:srgbClr val="000000"/>
              </a:solidFill>
              <a:latin typeface="Arial"/>
              <a:cs typeface="Arial"/>
            </a:rPr>
            <a:t>Then</a:t>
          </a:r>
        </a:p>
        <a:p>
          <a:pPr algn="l" rtl="0">
            <a:defRPr sz="1000"/>
          </a:pPr>
          <a:r>
            <a:rPr lang="en-US" sz="1000" b="0" i="0" u="none" strike="noStrike" baseline="0">
              <a:solidFill>
                <a:srgbClr val="000000"/>
              </a:solidFill>
              <a:latin typeface="Arial"/>
              <a:cs typeface="Arial"/>
            </a:rPr>
            <a:t>   epicenter to Intermediate        4005 km</a:t>
          </a:r>
        </a:p>
        <a:p>
          <a:pPr algn="l" rtl="0">
            <a:defRPr sz="1000"/>
          </a:pPr>
          <a:r>
            <a:rPr lang="en-US" sz="1000" b="0" i="0" u="none" strike="noStrike" baseline="0">
              <a:solidFill>
                <a:srgbClr val="000000"/>
              </a:solidFill>
              <a:latin typeface="Arial"/>
              <a:cs typeface="Arial"/>
            </a:rPr>
            <a:t>   Intermediate to La Punta        6539 km</a:t>
          </a:r>
        </a:p>
        <a:p>
          <a:pPr algn="l" rtl="0">
            <a:defRPr sz="1000"/>
          </a:pPr>
          <a:r>
            <a:rPr lang="en-US" sz="1000" b="0" i="0" u="none" strike="noStrike" baseline="0">
              <a:solidFill>
                <a:srgbClr val="000000"/>
              </a:solidFill>
              <a:latin typeface="Arial"/>
              <a:cs typeface="Arial"/>
            </a:rPr>
            <a:t>Kushiro              Intermediate pt         53 N, 165 W </a:t>
          </a:r>
        </a:p>
        <a:p>
          <a:pPr algn="l" rtl="0">
            <a:defRPr sz="1000"/>
          </a:pPr>
          <a:r>
            <a:rPr lang="en-US" sz="1000" b="0" i="0" u="none" strike="noStrike" baseline="0">
              <a:solidFill>
                <a:srgbClr val="000000"/>
              </a:solidFill>
              <a:latin typeface="Arial"/>
              <a:cs typeface="Arial"/>
            </a:rPr>
            <a:t>   epicenter to Intermediate        1386 km</a:t>
          </a:r>
        </a:p>
        <a:p>
          <a:pPr algn="l" rtl="0">
            <a:defRPr sz="1000"/>
          </a:pPr>
          <a:r>
            <a:rPr lang="en-US" sz="1000" b="0" i="0" u="none" strike="noStrike" baseline="0">
              <a:solidFill>
                <a:srgbClr val="000000"/>
              </a:solidFill>
              <a:latin typeface="Arial"/>
              <a:cs typeface="Arial"/>
            </a:rPr>
            <a:t>   Intermediate to Kushiro           3850 km</a:t>
          </a:r>
        </a:p>
        <a:p>
          <a:pPr algn="l" rtl="0">
            <a:defRPr sz="1000"/>
          </a:pPr>
          <a:r>
            <a:rPr lang="en-US" sz="1000" b="0" i="0" u="none" strike="noStrike" baseline="0">
              <a:solidFill>
                <a:srgbClr val="000000"/>
              </a:solidFill>
              <a:latin typeface="Arial"/>
              <a:cs typeface="Arial"/>
            </a:rPr>
            <a:t>I'm assuming that the tsunami went through the Aleutians without much effect on direction.</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1190625</xdr:colOff>
      <xdr:row>27</xdr:row>
      <xdr:rowOff>121920</xdr:rowOff>
    </xdr:from>
    <xdr:to>
      <xdr:col>8</xdr:col>
      <xdr:colOff>542925</xdr:colOff>
      <xdr:row>41</xdr:row>
      <xdr:rowOff>30480</xdr:rowOff>
    </xdr:to>
    <xdr:sp macro="" textlink="">
      <xdr:nvSpPr>
        <xdr:cNvPr id="3" name="Text Box 3"/>
        <xdr:cNvSpPr txBox="1">
          <a:spLocks noChangeArrowheads="1"/>
        </xdr:cNvSpPr>
      </xdr:nvSpPr>
      <xdr:spPr bwMode="auto">
        <a:xfrm>
          <a:off x="1800225" y="4480560"/>
          <a:ext cx="5981700" cy="225552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These distances assume a direct great circle is over the ocean everywhere. This is clearly not true for Port Kembla (great circle traverses Papua New Guinea and eastern Australia) and Seward and Kodiak (great circle traverses Alaska). If you pick an intermediate point in the ocean to "turn the corner," then you can get as follows: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Port Kembla            Intermediate pt         3 S, 157 E  (just N of mid-Solomon Islands)</a:t>
          </a:r>
        </a:p>
        <a:p>
          <a:pPr algn="l" rtl="0">
            <a:defRPr sz="1000"/>
          </a:pPr>
          <a:r>
            <a:rPr lang="en-US" sz="1000" b="0" i="0" u="none" strike="noStrike" baseline="0">
              <a:solidFill>
                <a:srgbClr val="000000"/>
              </a:solidFill>
              <a:latin typeface="Arial"/>
              <a:cs typeface="Arial"/>
            </a:rPr>
            <a:t>Then</a:t>
          </a:r>
        </a:p>
        <a:p>
          <a:pPr algn="l" rtl="0">
            <a:defRPr sz="1000"/>
          </a:pPr>
          <a:r>
            <a:rPr lang="en-US" sz="1000" b="0" i="0" u="none" strike="noStrike" baseline="0">
              <a:solidFill>
                <a:srgbClr val="000000"/>
              </a:solidFill>
              <a:latin typeface="Arial"/>
              <a:cs typeface="Arial"/>
            </a:rPr>
            <a:t>   epicenter to Intermediate        4814 km</a:t>
          </a:r>
        </a:p>
        <a:p>
          <a:pPr algn="l" rtl="0">
            <a:defRPr sz="1000"/>
          </a:pPr>
          <a:r>
            <a:rPr lang="en-US" sz="1000" b="0" i="0" u="none" strike="noStrike" baseline="0">
              <a:solidFill>
                <a:srgbClr val="000000"/>
              </a:solidFill>
              <a:latin typeface="Arial"/>
              <a:cs typeface="Arial"/>
            </a:rPr>
            <a:t>   Intermediate to Port Kembla   3542 km</a:t>
          </a:r>
        </a:p>
        <a:p>
          <a:pPr algn="l" rtl="0">
            <a:defRPr sz="1000"/>
          </a:pPr>
          <a:r>
            <a:rPr lang="en-US" sz="1000" b="0" i="0" u="none" strike="noStrike" baseline="0">
              <a:solidFill>
                <a:srgbClr val="000000"/>
              </a:solidFill>
              <a:latin typeface="Arial"/>
              <a:cs typeface="Arial"/>
            </a:rPr>
            <a:t>Alaska              Intermediate pt         53 N, 165 W (I used the same "corner" as for the Good Friday quake)</a:t>
          </a:r>
        </a:p>
        <a:p>
          <a:pPr algn="l" rtl="0">
            <a:defRPr sz="1000"/>
          </a:pPr>
          <a:r>
            <a:rPr lang="en-US" sz="1000" b="0" i="0" u="none" strike="noStrike" baseline="0">
              <a:solidFill>
                <a:srgbClr val="000000"/>
              </a:solidFill>
              <a:latin typeface="Arial"/>
              <a:cs typeface="Arial"/>
            </a:rPr>
            <a:t>   epicenter to Intermediate        4256 km</a:t>
          </a:r>
        </a:p>
        <a:p>
          <a:pPr algn="l" rtl="0">
            <a:defRPr sz="1000"/>
          </a:pPr>
          <a:r>
            <a:rPr lang="en-US" sz="1000" b="0" i="0" u="none" strike="noStrike" baseline="0">
              <a:solidFill>
                <a:srgbClr val="000000"/>
              </a:solidFill>
              <a:latin typeface="Arial"/>
              <a:cs typeface="Arial"/>
            </a:rPr>
            <a:t>   Intermediate to Kodiak             948 km</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Arial" pitchFamily="34" charset="0"/>
              <a:ea typeface="+mn-ea"/>
              <a:cs typeface="Arial" pitchFamily="34" charset="0"/>
            </a:rPr>
            <a:t>   Intermediate to Seward          1238 km</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Arial" pitchFamily="34" charset="0"/>
              <a:ea typeface="+mn-ea"/>
              <a:cs typeface="Arial" pitchFamily="34" charset="0"/>
            </a:rPr>
            <a:t>I'm assuming that the tsunami went through the Aleutians without much effect on direction.</a:t>
          </a:r>
          <a:endParaRPr lang="en-US">
            <a:effectLst/>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effectLst/>
            <a:latin typeface="Arial" pitchFamily="34" charset="0"/>
            <a:cs typeface="Arial"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99060</xdr:colOff>
      <xdr:row>23</xdr:row>
      <xdr:rowOff>60960</xdr:rowOff>
    </xdr:from>
    <xdr:to>
      <xdr:col>3</xdr:col>
      <xdr:colOff>327660</xdr:colOff>
      <xdr:row>36</xdr:row>
      <xdr:rowOff>0</xdr:rowOff>
    </xdr:to>
    <xdr:sp macro="" textlink="">
      <xdr:nvSpPr>
        <xdr:cNvPr id="2" name="TextBox 1"/>
        <xdr:cNvSpPr txBox="1"/>
      </xdr:nvSpPr>
      <xdr:spPr>
        <a:xfrm>
          <a:off x="563880" y="3916680"/>
          <a:ext cx="2804160" cy="2118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Some data</a:t>
          </a:r>
          <a:r>
            <a:rPr lang="en-US" sz="1100" baseline="0"/>
            <a:t> I captured from the Tsunami Warning Center releases at the time of the tsunami, but they don't appear in NOAA's tsunami db. In particular, NOAA and the TWC gave different arrival times for Hanasaki; both are in this table.</a:t>
          </a:r>
        </a:p>
        <a:p>
          <a:endParaRPr lang="en-US" sz="1100" baseline="0"/>
        </a:p>
        <a:p>
          <a:r>
            <a:rPr lang="en-US" sz="1100" baseline="0"/>
            <a:t>No data are available for Australia, Kwajalein, or Hilo, so I picked replacement locations.</a:t>
          </a:r>
        </a:p>
        <a:p>
          <a:endParaRPr lang="en-US" sz="1100" baseline="0"/>
        </a:p>
        <a:p>
          <a:r>
            <a:rPr lang="en-US" sz="1100" baseline="0"/>
            <a:t>Note shallow depths along Chile coast.</a:t>
          </a:r>
          <a:endParaRPr lang="en-US" sz="1100"/>
        </a:p>
      </xdr:txBody>
    </xdr:sp>
    <xdr:clientData/>
  </xdr:twoCellAnchor>
  <xdr:twoCellAnchor>
    <xdr:from>
      <xdr:col>4</xdr:col>
      <xdr:colOff>556260</xdr:colOff>
      <xdr:row>22</xdr:row>
      <xdr:rowOff>137160</xdr:rowOff>
    </xdr:from>
    <xdr:to>
      <xdr:col>12</xdr:col>
      <xdr:colOff>152400</xdr:colOff>
      <xdr:row>35</xdr:row>
      <xdr:rowOff>0</xdr:rowOff>
    </xdr:to>
    <xdr:sp macro="" textlink="">
      <xdr:nvSpPr>
        <xdr:cNvPr id="3" name="Text Box 3"/>
        <xdr:cNvSpPr txBox="1">
          <a:spLocks noChangeArrowheads="1"/>
        </xdr:cNvSpPr>
      </xdr:nvSpPr>
      <xdr:spPr bwMode="auto">
        <a:xfrm>
          <a:off x="4389120" y="3825240"/>
          <a:ext cx="4686300" cy="204216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These distances assume a direct great circle is over the ocean everywhere. This is clearly not true for Tofino, Seward and Kodiak (great circle traverses western North America). If you pick an intermediate point in the ocean to "turn the corner," then you can get as follows: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BC / Alaska              Intermediate pt            30 N, 120 W (just W of Los Angeles)</a:t>
          </a:r>
        </a:p>
        <a:p>
          <a:pPr algn="l" rtl="0">
            <a:defRPr sz="1000"/>
          </a:pPr>
          <a:r>
            <a:rPr lang="en-US" sz="1000" b="0" i="0" u="none" strike="noStrike" baseline="0">
              <a:solidFill>
                <a:srgbClr val="000000"/>
              </a:solidFill>
              <a:latin typeface="Arial"/>
              <a:cs typeface="Arial"/>
            </a:rPr>
            <a:t>   epicenter to Intermediate          8821 km</a:t>
          </a:r>
        </a:p>
        <a:p>
          <a:pPr algn="l" rtl="0">
            <a:defRPr sz="1000"/>
          </a:pPr>
          <a:r>
            <a:rPr lang="en-US" sz="1000" b="0" i="0" u="none" strike="noStrike" baseline="0">
              <a:solidFill>
                <a:srgbClr val="000000"/>
              </a:solidFill>
              <a:latin typeface="Arial"/>
              <a:cs typeface="Arial"/>
            </a:rPr>
            <a:t>   Intermediate to Tofino 	 2185 km</a:t>
          </a:r>
        </a:p>
        <a:p>
          <a:pPr algn="l" rtl="0">
            <a:defRPr sz="1000"/>
          </a:pPr>
          <a:r>
            <a:rPr lang="en-US" sz="1000" b="0" i="0" u="none" strike="noStrike" baseline="0">
              <a:solidFill>
                <a:srgbClr val="000000"/>
              </a:solidFill>
              <a:latin typeface="Arial"/>
              <a:cs typeface="Arial"/>
            </a:rPr>
            <a:t>   Intermediate to Kodiak             3965 km</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Arial" pitchFamily="34" charset="0"/>
              <a:ea typeface="+mn-ea"/>
              <a:cs typeface="Arial" pitchFamily="34" charset="0"/>
            </a:rPr>
            <a:t>   Intermediate to Seward            4001 km</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effectLst/>
            <a:latin typeface="Arial" pitchFamily="34" charset="0"/>
            <a:cs typeface="Arial"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artin.farley@uncp.ed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illiams.best.vwh.net/gccalc.ht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illiams.best.vwh.net/gccalc.ht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6" sqref="A16"/>
    </sheetView>
  </sheetViews>
  <sheetFormatPr defaultRowHeight="13.2" x14ac:dyDescent="0.25"/>
  <sheetData>
    <row r="1" spans="1:1" x14ac:dyDescent="0.25">
      <c r="A1" t="s">
        <v>52</v>
      </c>
    </row>
    <row r="2" spans="1:1" x14ac:dyDescent="0.25">
      <c r="A2" t="s">
        <v>53</v>
      </c>
    </row>
    <row r="3" spans="1:1" x14ac:dyDescent="0.25">
      <c r="A3" s="9" t="s">
        <v>54</v>
      </c>
    </row>
  </sheetData>
  <hyperlinks>
    <hyperlink ref="A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0"/>
  <sheetViews>
    <sheetView topLeftCell="D1" workbookViewId="0">
      <selection activeCell="J11" sqref="J11"/>
    </sheetView>
  </sheetViews>
  <sheetFormatPr defaultRowHeight="13.2" x14ac:dyDescent="0.25"/>
  <cols>
    <col min="2" max="2" width="32.44140625" customWidth="1"/>
    <col min="3" max="3" width="10.44140625" customWidth="1"/>
    <col min="6" max="6" width="9.109375" customWidth="1"/>
    <col min="8" max="8" width="12.5546875" bestFit="1" customWidth="1"/>
    <col min="11" max="11" width="10.33203125" bestFit="1" customWidth="1"/>
    <col min="12" max="12" width="10.33203125" customWidth="1"/>
    <col min="13" max="13" width="11.5546875" bestFit="1" customWidth="1"/>
  </cols>
  <sheetData>
    <row r="1" spans="2:13" x14ac:dyDescent="0.25">
      <c r="B1" t="s">
        <v>51</v>
      </c>
    </row>
    <row r="3" spans="2:13" x14ac:dyDescent="0.25">
      <c r="C3" s="19" t="s">
        <v>1</v>
      </c>
      <c r="D3" s="19"/>
      <c r="E3" s="1" t="s">
        <v>21</v>
      </c>
      <c r="F3" s="1"/>
      <c r="G3" s="1" t="s">
        <v>29</v>
      </c>
      <c r="H3" s="1" t="s">
        <v>28</v>
      </c>
      <c r="I3" s="1"/>
      <c r="J3" s="1"/>
    </row>
    <row r="4" spans="2:13" x14ac:dyDescent="0.25">
      <c r="C4" s="1" t="s">
        <v>2</v>
      </c>
      <c r="D4" s="1" t="s">
        <v>3</v>
      </c>
      <c r="E4" s="1" t="s">
        <v>22</v>
      </c>
      <c r="F4" s="1" t="s">
        <v>36</v>
      </c>
      <c r="G4" s="7" t="s">
        <v>23</v>
      </c>
      <c r="H4" s="7" t="s">
        <v>24</v>
      </c>
      <c r="I4" s="7" t="s">
        <v>31</v>
      </c>
      <c r="J4" s="1"/>
      <c r="L4" s="1"/>
    </row>
    <row r="5" spans="2:13" x14ac:dyDescent="0.25">
      <c r="B5" t="s">
        <v>0</v>
      </c>
      <c r="C5" s="2">
        <v>0</v>
      </c>
      <c r="D5" s="2">
        <v>0</v>
      </c>
      <c r="E5" s="8">
        <v>0.15</v>
      </c>
      <c r="F5" s="8"/>
      <c r="G5" s="11" t="s">
        <v>27</v>
      </c>
      <c r="H5" s="1"/>
      <c r="I5" s="1"/>
      <c r="J5" s="2"/>
      <c r="K5" s="3"/>
      <c r="L5" s="4"/>
      <c r="M5" s="5"/>
    </row>
    <row r="6" spans="2:13" x14ac:dyDescent="0.25">
      <c r="B6" t="s">
        <v>30</v>
      </c>
      <c r="C6" s="2">
        <v>80.400000000000006</v>
      </c>
      <c r="D6" s="2">
        <v>148.94999999999999</v>
      </c>
      <c r="E6" s="8">
        <v>0.16319444444444445</v>
      </c>
      <c r="F6" s="8">
        <f t="shared" ref="F6:F18" si="0">E6-$E$5</f>
        <v>1.3194444444444453E-2</v>
      </c>
      <c r="G6" s="2">
        <f>(E6-$E$5)*86400</f>
        <v>1140.0000000000007</v>
      </c>
      <c r="H6" s="13">
        <f>(D6*1000)/G6</f>
        <v>130.65789473684202</v>
      </c>
      <c r="I6" s="2">
        <f>H6^2/9.8</f>
        <v>1741.9883119452745</v>
      </c>
      <c r="J6" s="2"/>
      <c r="K6" s="3"/>
      <c r="L6" s="4"/>
      <c r="M6" s="5"/>
    </row>
    <row r="7" spans="2:13" hidden="1" x14ac:dyDescent="0.25">
      <c r="B7" t="s">
        <v>25</v>
      </c>
      <c r="C7" s="2">
        <v>149</v>
      </c>
      <c r="D7" s="2">
        <v>276</v>
      </c>
      <c r="E7" s="8">
        <v>0.1763888888888889</v>
      </c>
      <c r="F7" s="8">
        <f t="shared" si="0"/>
        <v>2.6388888888888906E-2</v>
      </c>
      <c r="G7" s="2">
        <f>(E7-$E$5)*86400</f>
        <v>2280.0000000000014</v>
      </c>
      <c r="H7" s="13">
        <f>(D7*1000)/G7</f>
        <v>121.0526315789473</v>
      </c>
      <c r="I7" s="2">
        <f>H7^2/9.8</f>
        <v>1495.279552264117</v>
      </c>
      <c r="J7" s="12" t="s">
        <v>33</v>
      </c>
      <c r="K7" s="3"/>
      <c r="L7" s="4"/>
      <c r="M7" s="5"/>
    </row>
    <row r="8" spans="2:13" x14ac:dyDescent="0.25">
      <c r="B8" t="s">
        <v>6</v>
      </c>
      <c r="C8" s="2">
        <v>249</v>
      </c>
      <c r="D8" s="2">
        <v>461</v>
      </c>
      <c r="E8" s="8">
        <v>0.18333333333333335</v>
      </c>
      <c r="F8" s="8">
        <f t="shared" si="0"/>
        <v>3.3333333333333354E-2</v>
      </c>
      <c r="G8" s="2">
        <f t="shared" ref="G8:G18" si="1">(E8-$E$5)*86400</f>
        <v>2880.0000000000018</v>
      </c>
      <c r="H8" s="13">
        <f t="shared" ref="H8:H18" si="2">(D8*1000)/G8</f>
        <v>160.06944444444434</v>
      </c>
      <c r="I8" s="2">
        <f t="shared" ref="I8:I18" si="3">H8^2/9.8</f>
        <v>2614.5129637503114</v>
      </c>
      <c r="J8" s="2"/>
      <c r="K8" s="3"/>
      <c r="L8" s="4"/>
      <c r="M8" s="5"/>
    </row>
    <row r="9" spans="2:13" x14ac:dyDescent="0.25">
      <c r="B9" t="s">
        <v>5</v>
      </c>
      <c r="C9" s="2">
        <v>1025</v>
      </c>
      <c r="D9" s="2">
        <v>1898</v>
      </c>
      <c r="E9" s="10">
        <v>0.29166666666666669</v>
      </c>
      <c r="F9" s="8">
        <f t="shared" si="0"/>
        <v>0.14166666666666669</v>
      </c>
      <c r="G9" s="2">
        <f t="shared" si="1"/>
        <v>12240.000000000002</v>
      </c>
      <c r="H9" s="13">
        <f t="shared" si="2"/>
        <v>155.06535947712416</v>
      </c>
      <c r="I9" s="2">
        <f t="shared" si="3"/>
        <v>2453.5985418132386</v>
      </c>
      <c r="J9" s="2"/>
      <c r="K9" s="3"/>
      <c r="L9" s="4"/>
      <c r="M9" s="5"/>
    </row>
    <row r="10" spans="2:13" x14ac:dyDescent="0.25">
      <c r="B10" t="s">
        <v>7</v>
      </c>
      <c r="C10" s="2">
        <v>1437</v>
      </c>
      <c r="D10" s="2">
        <v>2661</v>
      </c>
      <c r="E10" s="8">
        <v>0.31874999999999998</v>
      </c>
      <c r="F10" s="8">
        <f t="shared" si="0"/>
        <v>0.16874999999999998</v>
      </c>
      <c r="G10" s="2">
        <f t="shared" si="1"/>
        <v>14579.999999999998</v>
      </c>
      <c r="H10" s="13">
        <f t="shared" si="2"/>
        <v>182.51028806584364</v>
      </c>
      <c r="I10" s="2">
        <f t="shared" si="3"/>
        <v>3398.9801275384925</v>
      </c>
      <c r="J10" s="2"/>
      <c r="K10" s="3"/>
      <c r="L10" s="4"/>
      <c r="M10" s="5"/>
    </row>
    <row r="11" spans="2:13" x14ac:dyDescent="0.25">
      <c r="B11" t="s">
        <v>32</v>
      </c>
      <c r="C11" s="2">
        <v>2501</v>
      </c>
      <c r="D11" s="2">
        <v>4632</v>
      </c>
      <c r="E11" s="8">
        <v>0.375</v>
      </c>
      <c r="F11" s="8">
        <f t="shared" si="0"/>
        <v>0.22500000000000001</v>
      </c>
      <c r="G11" s="2">
        <f t="shared" si="1"/>
        <v>19440</v>
      </c>
      <c r="H11" s="13">
        <f t="shared" si="2"/>
        <v>238.27160493827159</v>
      </c>
      <c r="I11" s="2">
        <f t="shared" si="3"/>
        <v>5793.1997673326296</v>
      </c>
      <c r="J11" s="2"/>
      <c r="K11" s="3"/>
      <c r="L11" s="4"/>
      <c r="M11" s="5"/>
    </row>
    <row r="12" spans="2:13" hidden="1" x14ac:dyDescent="0.25">
      <c r="B12" t="s">
        <v>8</v>
      </c>
      <c r="C12" s="2">
        <v>2426</v>
      </c>
      <c r="D12" s="2">
        <v>4493</v>
      </c>
      <c r="E12" s="8">
        <v>0.37013888888888885</v>
      </c>
      <c r="F12" s="8">
        <f t="shared" si="0"/>
        <v>0.22013888888888886</v>
      </c>
      <c r="G12" s="2">
        <f t="shared" si="1"/>
        <v>19019.999999999996</v>
      </c>
      <c r="H12" s="13">
        <f t="shared" si="2"/>
        <v>236.22502628811782</v>
      </c>
      <c r="I12" s="2">
        <f t="shared" si="3"/>
        <v>5694.1084739614234</v>
      </c>
      <c r="J12" s="2"/>
      <c r="K12" s="3"/>
      <c r="L12" s="4"/>
      <c r="M12" s="5"/>
    </row>
    <row r="13" spans="2:13" x14ac:dyDescent="0.25">
      <c r="B13" t="s">
        <v>9</v>
      </c>
      <c r="C13" s="2">
        <v>2602</v>
      </c>
      <c r="D13" s="2">
        <v>4819</v>
      </c>
      <c r="E13" s="8">
        <v>0.4381944444444445</v>
      </c>
      <c r="F13" s="8">
        <f t="shared" si="0"/>
        <v>0.28819444444444453</v>
      </c>
      <c r="G13" s="2">
        <f t="shared" si="1"/>
        <v>24900.000000000007</v>
      </c>
      <c r="H13" s="13">
        <f t="shared" si="2"/>
        <v>193.53413654618467</v>
      </c>
      <c r="I13" s="2">
        <f t="shared" si="3"/>
        <v>3821.9859192527811</v>
      </c>
      <c r="J13" s="2"/>
      <c r="K13" s="3"/>
      <c r="L13" s="4"/>
      <c r="M13" s="5"/>
    </row>
    <row r="14" spans="2:13" x14ac:dyDescent="0.25">
      <c r="B14" t="s">
        <v>34</v>
      </c>
      <c r="C14" s="2"/>
      <c r="D14" s="2">
        <f>1386+3850</f>
        <v>5236</v>
      </c>
      <c r="E14" s="8">
        <v>0.4381944444444445</v>
      </c>
      <c r="F14" s="8">
        <f t="shared" si="0"/>
        <v>0.28819444444444453</v>
      </c>
      <c r="G14" s="2">
        <f t="shared" si="1"/>
        <v>24900.000000000007</v>
      </c>
      <c r="H14" s="13">
        <f>(D14*1000)/G14</f>
        <v>210.2811244979919</v>
      </c>
      <c r="I14" s="2">
        <f t="shared" si="3"/>
        <v>4512.056257157139</v>
      </c>
      <c r="J14" s="2"/>
      <c r="K14" s="3"/>
      <c r="L14" s="4"/>
      <c r="M14" s="5"/>
    </row>
    <row r="15" spans="2:13" x14ac:dyDescent="0.25">
      <c r="B15" t="s">
        <v>10</v>
      </c>
      <c r="C15" s="2">
        <v>3707</v>
      </c>
      <c r="D15" s="2">
        <v>6867</v>
      </c>
      <c r="E15" s="8">
        <v>0.5</v>
      </c>
      <c r="F15" s="8">
        <f t="shared" si="0"/>
        <v>0.35</v>
      </c>
      <c r="G15" s="2">
        <f t="shared" si="1"/>
        <v>30239.999999999996</v>
      </c>
      <c r="H15" s="13">
        <f t="shared" si="2"/>
        <v>227.08333333333337</v>
      </c>
      <c r="I15" s="2">
        <f t="shared" si="3"/>
        <v>5261.922477324264</v>
      </c>
      <c r="J15" s="2"/>
      <c r="K15" s="3"/>
      <c r="L15" s="4"/>
      <c r="M15" s="5"/>
    </row>
    <row r="16" spans="2:13" x14ac:dyDescent="0.25">
      <c r="B16" t="s">
        <v>15</v>
      </c>
      <c r="C16" s="2">
        <v>5480</v>
      </c>
      <c r="D16" s="2">
        <v>10148</v>
      </c>
      <c r="E16" s="8">
        <v>0.7993055555555556</v>
      </c>
      <c r="F16" s="8">
        <f t="shared" si="0"/>
        <v>0.64930555555555558</v>
      </c>
      <c r="G16" s="2">
        <f t="shared" si="1"/>
        <v>56100</v>
      </c>
      <c r="H16" s="13">
        <f t="shared" si="2"/>
        <v>180.89126559714796</v>
      </c>
      <c r="I16" s="2">
        <f t="shared" si="3"/>
        <v>3338.9438744222371</v>
      </c>
      <c r="J16" s="2"/>
      <c r="K16" s="3"/>
      <c r="L16" s="4"/>
      <c r="M16" s="5"/>
    </row>
    <row r="17" spans="2:13" x14ac:dyDescent="0.25">
      <c r="B17" t="s">
        <v>35</v>
      </c>
      <c r="C17" s="2"/>
      <c r="D17" s="2">
        <f>4005+6539</f>
        <v>10544</v>
      </c>
      <c r="E17" s="8">
        <v>0.7993055555555556</v>
      </c>
      <c r="F17" s="8">
        <f t="shared" si="0"/>
        <v>0.64930555555555558</v>
      </c>
      <c r="G17" s="2">
        <f t="shared" si="1"/>
        <v>56100</v>
      </c>
      <c r="H17" s="13">
        <f>(D17*1000)/G17</f>
        <v>187.9500891265597</v>
      </c>
      <c r="I17" s="2">
        <f t="shared" si="3"/>
        <v>3604.6159186409927</v>
      </c>
      <c r="J17" s="2"/>
      <c r="K17" s="3"/>
      <c r="L17" s="4"/>
      <c r="M17" s="5"/>
    </row>
    <row r="18" spans="2:13" x14ac:dyDescent="0.25">
      <c r="B18" t="s">
        <v>26</v>
      </c>
      <c r="C18" s="2">
        <v>6419</v>
      </c>
      <c r="D18" s="2">
        <v>11887</v>
      </c>
      <c r="E18" s="8">
        <v>0.86458333333333337</v>
      </c>
      <c r="F18" s="8">
        <f t="shared" si="0"/>
        <v>0.71458333333333335</v>
      </c>
      <c r="G18" s="2">
        <f t="shared" si="1"/>
        <v>61740</v>
      </c>
      <c r="H18" s="13">
        <f t="shared" si="2"/>
        <v>192.53320375769354</v>
      </c>
      <c r="I18" s="2">
        <f t="shared" si="3"/>
        <v>3782.5545458368915</v>
      </c>
      <c r="J18" s="2"/>
      <c r="K18" s="3"/>
      <c r="L18" s="4"/>
      <c r="M18" s="5"/>
    </row>
    <row r="19" spans="2:13" x14ac:dyDescent="0.25">
      <c r="C19" s="1"/>
      <c r="D19" s="1"/>
      <c r="E19" s="1"/>
      <c r="F19" s="1"/>
      <c r="G19" s="1"/>
      <c r="H19" s="1"/>
      <c r="I19" s="1"/>
      <c r="J19" s="1"/>
    </row>
    <row r="20" spans="2:13" x14ac:dyDescent="0.25">
      <c r="C20" s="1"/>
      <c r="D20" s="1"/>
      <c r="E20" s="1"/>
      <c r="F20" s="1"/>
      <c r="G20" s="1"/>
      <c r="H20" s="1"/>
      <c r="I20" s="1"/>
      <c r="J20" s="1"/>
    </row>
    <row r="21" spans="2:13" x14ac:dyDescent="0.25">
      <c r="B21" t="s">
        <v>13</v>
      </c>
      <c r="C21" s="1"/>
      <c r="D21" s="1"/>
      <c r="E21" s="1"/>
      <c r="F21" s="1"/>
      <c r="G21" s="1"/>
      <c r="H21" s="1"/>
      <c r="I21" s="1"/>
      <c r="J21" s="1"/>
    </row>
    <row r="22" spans="2:13" x14ac:dyDescent="0.25">
      <c r="B22" s="9" t="s">
        <v>14</v>
      </c>
      <c r="C22" s="1"/>
      <c r="D22" s="1"/>
      <c r="E22" s="1"/>
      <c r="F22" s="1"/>
      <c r="G22" s="1"/>
      <c r="H22" s="1"/>
      <c r="I22" s="1"/>
      <c r="J22" s="1"/>
    </row>
    <row r="23" spans="2:13" x14ac:dyDescent="0.25">
      <c r="C23" s="1"/>
      <c r="D23" s="1"/>
      <c r="E23" s="1"/>
      <c r="F23" s="1"/>
      <c r="G23" s="1"/>
      <c r="H23" s="1"/>
      <c r="I23" s="1"/>
      <c r="J23" s="1"/>
    </row>
    <row r="24" spans="2:13" x14ac:dyDescent="0.25">
      <c r="B24" t="s">
        <v>20</v>
      </c>
      <c r="C24" s="6">
        <v>0.15</v>
      </c>
      <c r="D24" s="1" t="s">
        <v>21</v>
      </c>
      <c r="E24" s="1"/>
      <c r="F24" s="1"/>
      <c r="G24" s="1"/>
      <c r="H24" s="1"/>
      <c r="I24" s="1"/>
      <c r="J24" s="1"/>
    </row>
    <row r="25" spans="2:13" x14ac:dyDescent="0.25">
      <c r="C25" s="1"/>
      <c r="D25" s="1"/>
      <c r="E25" s="1"/>
      <c r="F25" s="1"/>
      <c r="G25" s="1"/>
      <c r="H25" s="1"/>
      <c r="I25" s="1"/>
      <c r="J25" s="1"/>
    </row>
    <row r="26" spans="2:13" x14ac:dyDescent="0.25">
      <c r="C26" s="1"/>
      <c r="D26" s="1"/>
      <c r="E26" s="1"/>
      <c r="F26" s="1"/>
      <c r="G26" s="1"/>
      <c r="H26" s="1"/>
      <c r="I26" s="1"/>
      <c r="J26" s="1"/>
    </row>
    <row r="27" spans="2:13" x14ac:dyDescent="0.25">
      <c r="C27" s="1"/>
      <c r="D27" s="1"/>
      <c r="E27" s="1"/>
      <c r="F27" s="1"/>
      <c r="G27" s="1"/>
      <c r="H27" s="1"/>
      <c r="I27" s="1"/>
      <c r="J27" s="1"/>
    </row>
    <row r="28" spans="2:13" x14ac:dyDescent="0.25">
      <c r="C28" s="1"/>
      <c r="D28" s="1"/>
      <c r="E28" s="1"/>
      <c r="F28" s="1"/>
      <c r="G28" s="1"/>
      <c r="H28" s="1"/>
      <c r="I28" s="1"/>
      <c r="J28" s="1"/>
    </row>
    <row r="29" spans="2:13" x14ac:dyDescent="0.25">
      <c r="C29" s="1"/>
      <c r="D29" s="1"/>
      <c r="E29" s="1"/>
      <c r="F29" s="1"/>
      <c r="G29" s="1"/>
      <c r="H29" s="1"/>
      <c r="I29" s="1"/>
      <c r="J29" s="1"/>
    </row>
    <row r="30" spans="2:13" x14ac:dyDescent="0.25">
      <c r="C30" s="1"/>
      <c r="D30" s="1"/>
      <c r="E30" s="1"/>
      <c r="F30" s="1"/>
      <c r="G30" s="1"/>
      <c r="H30" s="1"/>
      <c r="I30" s="1"/>
      <c r="J30" s="1"/>
    </row>
  </sheetData>
  <mergeCells count="1">
    <mergeCell ref="C3:D3"/>
  </mergeCells>
  <phoneticPr fontId="1" type="noConversion"/>
  <hyperlinks>
    <hyperlink ref="B22" r:id="rId1"/>
  </hyperlinks>
  <printOptions gridLines="1"/>
  <pageMargins left="0.75" right="0.75" top="1" bottom="1" header="0.5" footer="0.5"/>
  <pageSetup orientation="landscape" horizontalDpi="1200" verticalDpi="1200"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2"/>
  <sheetViews>
    <sheetView topLeftCell="A2" workbookViewId="0">
      <selection activeCell="A2" sqref="A2"/>
    </sheetView>
  </sheetViews>
  <sheetFormatPr defaultRowHeight="13.2" x14ac:dyDescent="0.25"/>
  <cols>
    <col min="2" max="2" width="32.44140625" customWidth="1"/>
    <col min="3" max="3" width="10.44140625" customWidth="1"/>
    <col min="5" max="5" width="14.33203125" customWidth="1"/>
    <col min="6" max="6" width="9.109375" customWidth="1"/>
    <col min="7" max="7" width="8.88671875" customWidth="1"/>
    <col min="8" max="8" width="12.5546875" customWidth="1"/>
    <col min="11" max="11" width="10.33203125" bestFit="1" customWidth="1"/>
    <col min="12" max="12" width="10.33203125" customWidth="1"/>
    <col min="13" max="13" width="11.5546875" bestFit="1" customWidth="1"/>
  </cols>
  <sheetData>
    <row r="1" spans="2:13" x14ac:dyDescent="0.25">
      <c r="B1" t="s">
        <v>48</v>
      </c>
    </row>
    <row r="3" spans="2:13" x14ac:dyDescent="0.25">
      <c r="C3" s="19" t="s">
        <v>1</v>
      </c>
      <c r="D3" s="19"/>
      <c r="E3" s="1" t="s">
        <v>21</v>
      </c>
      <c r="F3" s="1"/>
      <c r="G3" s="1" t="s">
        <v>29</v>
      </c>
      <c r="H3" s="1" t="s">
        <v>28</v>
      </c>
      <c r="I3" s="1"/>
      <c r="J3" s="1"/>
      <c r="K3" t="s">
        <v>42</v>
      </c>
    </row>
    <row r="4" spans="2:13" x14ac:dyDescent="0.25">
      <c r="C4" s="1" t="s">
        <v>2</v>
      </c>
      <c r="D4" s="1" t="s">
        <v>3</v>
      </c>
      <c r="E4" s="1" t="s">
        <v>22</v>
      </c>
      <c r="F4" s="1" t="s">
        <v>36</v>
      </c>
      <c r="G4" s="7" t="s">
        <v>23</v>
      </c>
      <c r="H4" s="7" t="s">
        <v>24</v>
      </c>
      <c r="I4" s="7" t="s">
        <v>31</v>
      </c>
      <c r="J4" s="1"/>
      <c r="K4" s="7" t="s">
        <v>37</v>
      </c>
      <c r="L4" s="1" t="s">
        <v>38</v>
      </c>
    </row>
    <row r="5" spans="2:13" x14ac:dyDescent="0.25">
      <c r="B5" t="s">
        <v>40</v>
      </c>
      <c r="C5" s="2">
        <v>0</v>
      </c>
      <c r="D5" s="2">
        <v>0</v>
      </c>
      <c r="E5" s="8">
        <f>C26</f>
        <v>40613.240555555552</v>
      </c>
      <c r="F5" s="8"/>
      <c r="G5" s="11" t="s">
        <v>27</v>
      </c>
      <c r="H5" s="1"/>
      <c r="I5" s="1"/>
      <c r="J5" s="2"/>
      <c r="K5" s="18">
        <v>38.296999999999997</v>
      </c>
      <c r="L5" s="18">
        <v>142.37299999999999</v>
      </c>
      <c r="M5" s="5"/>
    </row>
    <row r="6" spans="2:13" x14ac:dyDescent="0.25">
      <c r="B6" t="s">
        <v>12</v>
      </c>
      <c r="C6" s="2"/>
      <c r="D6" s="2">
        <v>5025</v>
      </c>
      <c r="E6" s="8">
        <v>40613.578472222223</v>
      </c>
      <c r="F6" s="8">
        <f t="shared" ref="F6:F18" si="0">E6-$E$5</f>
        <v>0.33791666667093523</v>
      </c>
      <c r="G6" s="2">
        <f>(E6-$E$5)*86400</f>
        <v>29196.000000368804</v>
      </c>
      <c r="H6" s="13">
        <f>(D6*1000)/G6</f>
        <v>172.11261816469806</v>
      </c>
      <c r="I6" s="2">
        <f>H6^2/9.8</f>
        <v>3022.729931786444</v>
      </c>
      <c r="J6" s="2"/>
      <c r="K6" s="16">
        <v>60.119</v>
      </c>
      <c r="L6" s="16">
        <v>-149.42699999999999</v>
      </c>
      <c r="M6" s="5"/>
    </row>
    <row r="7" spans="2:13" hidden="1" x14ac:dyDescent="0.25">
      <c r="B7" t="s">
        <v>25</v>
      </c>
      <c r="C7" s="2"/>
      <c r="D7" s="2">
        <v>276</v>
      </c>
      <c r="E7" s="8">
        <v>0.1763888888888889</v>
      </c>
      <c r="F7" s="8">
        <f t="shared" ref="F7:F8" si="1">E7-$E$5</f>
        <v>-40613.064166666663</v>
      </c>
      <c r="G7" s="2">
        <f t="shared" ref="G7:G8" si="2">(E7-$E$5)*86400</f>
        <v>-3508968743.9999995</v>
      </c>
      <c r="H7" s="13">
        <f t="shared" ref="H7:H8" si="3">(D7*1000)/G7</f>
        <v>-7.8655588047609018E-5</v>
      </c>
      <c r="I7" s="2">
        <f t="shared" ref="I7:I8" si="4">H7^2/9.8</f>
        <v>6.3129607460358928E-10</v>
      </c>
      <c r="J7" s="12" t="s">
        <v>33</v>
      </c>
      <c r="K7" s="16"/>
      <c r="L7" s="16"/>
      <c r="M7" s="5"/>
    </row>
    <row r="8" spans="2:13" x14ac:dyDescent="0.25">
      <c r="B8" t="s">
        <v>45</v>
      </c>
      <c r="C8" s="2"/>
      <c r="D8" s="2">
        <f>4256+1238</f>
        <v>5494</v>
      </c>
      <c r="E8" s="8">
        <v>40613.578472222223</v>
      </c>
      <c r="F8" s="8">
        <f t="shared" si="1"/>
        <v>0.33791666667093523</v>
      </c>
      <c r="G8" s="2">
        <f t="shared" si="2"/>
        <v>29196.000000368804</v>
      </c>
      <c r="H8" s="13">
        <f t="shared" si="3"/>
        <v>188.17646252673654</v>
      </c>
      <c r="I8" s="2">
        <f t="shared" si="4"/>
        <v>3613.3041886812534</v>
      </c>
      <c r="J8" s="12"/>
      <c r="K8" s="17" t="s">
        <v>27</v>
      </c>
      <c r="L8" s="17" t="s">
        <v>27</v>
      </c>
      <c r="M8" s="5"/>
    </row>
    <row r="9" spans="2:13" x14ac:dyDescent="0.25">
      <c r="B9" t="s">
        <v>6</v>
      </c>
      <c r="C9" s="2"/>
      <c r="D9" s="2">
        <v>5076</v>
      </c>
      <c r="E9" s="8">
        <v>40613.574999999997</v>
      </c>
      <c r="F9" s="8">
        <f t="shared" si="0"/>
        <v>0.33444444444467081</v>
      </c>
      <c r="G9" s="2">
        <f t="shared" ref="G9:G18" si="5">(E9-$E$5)*86400</f>
        <v>28896.000000019558</v>
      </c>
      <c r="H9" s="13">
        <f t="shared" ref="H9:H18" si="6">(D9*1000)/G9</f>
        <v>175.66445182712363</v>
      </c>
      <c r="I9" s="2">
        <f t="shared" ref="I9:I18" si="7">H9^2/9.8</f>
        <v>3148.7754730330444</v>
      </c>
      <c r="J9" s="2"/>
      <c r="K9" s="16">
        <v>57.716999999999999</v>
      </c>
      <c r="L9" s="16">
        <v>-152.517</v>
      </c>
      <c r="M9" s="5"/>
    </row>
    <row r="10" spans="2:13" x14ac:dyDescent="0.25">
      <c r="B10" t="s">
        <v>44</v>
      </c>
      <c r="C10" s="2"/>
      <c r="D10" s="2">
        <f>948+4256</f>
        <v>5204</v>
      </c>
      <c r="E10" s="8">
        <v>40613.574999999997</v>
      </c>
      <c r="F10" s="8">
        <f t="shared" ref="F10" si="8">E10-$E$5</f>
        <v>0.33444444444467081</v>
      </c>
      <c r="G10" s="2">
        <f t="shared" ref="G10" si="9">(E10-$E$5)*86400</f>
        <v>28896.000000019558</v>
      </c>
      <c r="H10" s="13">
        <f t="shared" ref="H10" si="10">(D10*1000)/G10</f>
        <v>180.09413067540413</v>
      </c>
      <c r="I10" s="2">
        <f t="shared" ref="I10" si="11">H10^2/9.8</f>
        <v>3309.5812146662793</v>
      </c>
      <c r="J10" s="2"/>
      <c r="K10" s="17" t="s">
        <v>27</v>
      </c>
      <c r="L10" s="17" t="s">
        <v>27</v>
      </c>
      <c r="M10" s="5"/>
    </row>
    <row r="11" spans="2:13" x14ac:dyDescent="0.25">
      <c r="B11" t="s">
        <v>47</v>
      </c>
      <c r="C11" s="2"/>
      <c r="D11" s="2">
        <v>6775</v>
      </c>
      <c r="E11" s="8">
        <v>40613.617361111108</v>
      </c>
      <c r="F11" s="8">
        <f t="shared" si="0"/>
        <v>0.37680555555562023</v>
      </c>
      <c r="G11" s="2">
        <f t="shared" si="5"/>
        <v>32556.000000005588</v>
      </c>
      <c r="H11" s="13">
        <f t="shared" si="6"/>
        <v>208.10296105169053</v>
      </c>
      <c r="I11" s="2">
        <f t="shared" si="7"/>
        <v>4419.0655508654509</v>
      </c>
      <c r="J11" s="2"/>
      <c r="K11" s="16">
        <v>50.512999999999998</v>
      </c>
      <c r="L11" s="16">
        <v>-128.08000000000001</v>
      </c>
      <c r="M11" s="5"/>
    </row>
    <row r="12" spans="2:13" x14ac:dyDescent="0.25">
      <c r="B12" t="s">
        <v>7</v>
      </c>
      <c r="C12" s="2"/>
      <c r="D12" s="2">
        <v>7518</v>
      </c>
      <c r="E12" s="8">
        <v>40613.648611111108</v>
      </c>
      <c r="F12" s="8">
        <f t="shared" si="0"/>
        <v>0.40805555555562023</v>
      </c>
      <c r="G12" s="2">
        <f t="shared" si="5"/>
        <v>35256.000000005588</v>
      </c>
      <c r="H12" s="13">
        <f t="shared" si="6"/>
        <v>213.24029952345157</v>
      </c>
      <c r="I12" s="2">
        <f t="shared" si="7"/>
        <v>4639.9413613113611</v>
      </c>
      <c r="J12" s="2"/>
      <c r="K12" s="16">
        <v>41.756</v>
      </c>
      <c r="L12" s="16">
        <v>-124.18</v>
      </c>
      <c r="M12" s="5"/>
    </row>
    <row r="13" spans="2:13" x14ac:dyDescent="0.25">
      <c r="B13" t="s">
        <v>32</v>
      </c>
      <c r="C13" s="2"/>
      <c r="D13" s="2">
        <v>6309</v>
      </c>
      <c r="E13" s="8">
        <v>40613.571527777778</v>
      </c>
      <c r="F13" s="8">
        <f t="shared" si="0"/>
        <v>0.33097222222568234</v>
      </c>
      <c r="G13" s="2">
        <f t="shared" si="5"/>
        <v>28596.000000298955</v>
      </c>
      <c r="H13" s="13">
        <f t="shared" si="6"/>
        <v>220.62526227213746</v>
      </c>
      <c r="I13" s="2">
        <f t="shared" si="7"/>
        <v>4966.8884033315753</v>
      </c>
      <c r="J13" s="2"/>
      <c r="K13" s="16">
        <v>19.73</v>
      </c>
      <c r="L13" s="16">
        <v>-155.05699999999999</v>
      </c>
      <c r="M13" s="5"/>
    </row>
    <row r="14" spans="2:13" hidden="1" x14ac:dyDescent="0.25">
      <c r="B14" t="s">
        <v>8</v>
      </c>
      <c r="C14" s="2"/>
      <c r="D14" s="2">
        <v>4493</v>
      </c>
      <c r="E14" s="8">
        <v>0.37013888888888885</v>
      </c>
      <c r="F14" s="8">
        <f t="shared" si="0"/>
        <v>-40612.870416666665</v>
      </c>
      <c r="G14" s="2">
        <f t="shared" si="5"/>
        <v>-3508952004</v>
      </c>
      <c r="H14" s="13">
        <f t="shared" si="6"/>
        <v>-1.2804392863961214E-3</v>
      </c>
      <c r="I14" s="2">
        <f t="shared" si="7"/>
        <v>1.6729844552516413E-7</v>
      </c>
      <c r="J14" s="2"/>
      <c r="K14" s="16"/>
      <c r="L14" s="16"/>
      <c r="M14" s="5"/>
    </row>
    <row r="15" spans="2:13" x14ac:dyDescent="0.25">
      <c r="B15" t="s">
        <v>9</v>
      </c>
      <c r="C15" s="2"/>
      <c r="D15" s="2">
        <v>479</v>
      </c>
      <c r="E15" s="8">
        <v>40613.273611111108</v>
      </c>
      <c r="F15" s="8">
        <f t="shared" si="0"/>
        <v>3.3055555555620231E-2</v>
      </c>
      <c r="G15" s="2">
        <f t="shared" si="5"/>
        <v>2856.0000000055879</v>
      </c>
      <c r="H15" s="13">
        <f t="shared" si="6"/>
        <v>167.71708683440573</v>
      </c>
      <c r="I15" s="2">
        <f t="shared" si="7"/>
        <v>2870.3082873693461</v>
      </c>
      <c r="J15" s="2"/>
      <c r="K15" s="16">
        <v>42.966999999999999</v>
      </c>
      <c r="L15" s="16">
        <v>144.36699999999999</v>
      </c>
      <c r="M15" s="5"/>
    </row>
    <row r="16" spans="2:13" x14ac:dyDescent="0.25">
      <c r="B16" t="s">
        <v>10</v>
      </c>
      <c r="C16" s="2"/>
      <c r="D16" s="2">
        <v>4195</v>
      </c>
      <c r="E16" s="8">
        <v>40613.450694444444</v>
      </c>
      <c r="F16" s="8">
        <f t="shared" si="0"/>
        <v>0.21013888889137888</v>
      </c>
      <c r="G16" s="2">
        <f t="shared" si="5"/>
        <v>18156.000000215136</v>
      </c>
      <c r="H16" s="13">
        <f t="shared" si="6"/>
        <v>231.05309539272375</v>
      </c>
      <c r="I16" s="2">
        <f t="shared" si="7"/>
        <v>5447.5033561794999</v>
      </c>
      <c r="J16" s="2"/>
      <c r="K16" s="16">
        <v>8.7330000000000005</v>
      </c>
      <c r="L16" s="16">
        <v>167.733</v>
      </c>
      <c r="M16" s="5"/>
    </row>
    <row r="17" spans="2:13" x14ac:dyDescent="0.25">
      <c r="B17" t="s">
        <v>15</v>
      </c>
      <c r="C17" s="2"/>
      <c r="D17" s="2">
        <v>15116</v>
      </c>
      <c r="E17" s="8">
        <v>40614.086111111108</v>
      </c>
      <c r="F17" s="8">
        <f t="shared" si="0"/>
        <v>0.84555555555562023</v>
      </c>
      <c r="G17" s="2">
        <f t="shared" si="5"/>
        <v>73056.000000005588</v>
      </c>
      <c r="H17" s="13">
        <f t="shared" si="6"/>
        <v>206.90976784930524</v>
      </c>
      <c r="I17" s="2">
        <f t="shared" si="7"/>
        <v>4368.5359215768767</v>
      </c>
      <c r="J17" s="2"/>
      <c r="K17" s="16">
        <v>-12.05</v>
      </c>
      <c r="L17" s="16">
        <v>-77.150000000000006</v>
      </c>
      <c r="M17" s="5"/>
    </row>
    <row r="18" spans="2:13" x14ac:dyDescent="0.25">
      <c r="B18" t="s">
        <v>43</v>
      </c>
      <c r="C18" s="2"/>
      <c r="D18" s="2">
        <v>8175</v>
      </c>
      <c r="E18" s="8">
        <v>40613.824999999997</v>
      </c>
      <c r="F18" s="8">
        <f t="shared" si="0"/>
        <v>0.58444444444467081</v>
      </c>
      <c r="G18" s="2">
        <f t="shared" si="5"/>
        <v>50496.000000019558</v>
      </c>
      <c r="H18" s="13">
        <f t="shared" si="6"/>
        <v>161.8940114067814</v>
      </c>
      <c r="I18" s="2">
        <f t="shared" si="7"/>
        <v>2674.4562172835781</v>
      </c>
      <c r="J18" s="2"/>
      <c r="K18" s="16">
        <v>-34.482999999999997</v>
      </c>
      <c r="L18" s="16">
        <v>150.917</v>
      </c>
      <c r="M18" s="5"/>
    </row>
    <row r="19" spans="2:13" x14ac:dyDescent="0.25">
      <c r="B19" t="s">
        <v>46</v>
      </c>
      <c r="C19" s="1"/>
      <c r="D19" s="1">
        <f>4814+3542</f>
        <v>8356</v>
      </c>
      <c r="E19" s="8">
        <v>40613.824999999997</v>
      </c>
      <c r="F19" s="8">
        <f t="shared" ref="F19" si="12">E19-$E$5</f>
        <v>0.58444444444467081</v>
      </c>
      <c r="G19" s="2">
        <f t="shared" ref="G19" si="13">(E19-$E$5)*86400</f>
        <v>50496.000000019558</v>
      </c>
      <c r="H19" s="13">
        <f t="shared" ref="H19" si="14">(D19*1000)/G19</f>
        <v>165.47845373884593</v>
      </c>
      <c r="I19" s="2">
        <f t="shared" ref="I19" si="15">H19^2/9.8</f>
        <v>2794.1957807958543</v>
      </c>
      <c r="J19" s="1"/>
      <c r="K19" s="17" t="s">
        <v>27</v>
      </c>
      <c r="L19" s="17" t="s">
        <v>27</v>
      </c>
    </row>
    <row r="20" spans="2:13" x14ac:dyDescent="0.25">
      <c r="B20" t="s">
        <v>49</v>
      </c>
      <c r="C20" s="14"/>
      <c r="D20" s="14">
        <v>6859</v>
      </c>
      <c r="E20" s="8">
        <v>40613.803472222222</v>
      </c>
      <c r="F20" s="8">
        <f t="shared" ref="F20" si="16">E20-$E$5</f>
        <v>0.56291666666948004</v>
      </c>
      <c r="G20" s="2">
        <f t="shared" ref="G20" si="17">(E20-$E$5)*86400</f>
        <v>48636.000000243075</v>
      </c>
      <c r="H20" s="13">
        <f t="shared" ref="H20" si="18">(D20*1000)/G20</f>
        <v>141.02722263273543</v>
      </c>
      <c r="I20" s="2">
        <f t="shared" ref="I20" si="19">H20^2/9.8</f>
        <v>2029.4568901533798</v>
      </c>
      <c r="J20" s="14"/>
      <c r="K20" s="16">
        <v>-23.161000000000001</v>
      </c>
      <c r="L20" s="16">
        <v>150.79</v>
      </c>
    </row>
    <row r="21" spans="2:13" x14ac:dyDescent="0.25">
      <c r="C21" s="14"/>
      <c r="D21" s="14"/>
      <c r="E21" s="8"/>
      <c r="F21" s="14"/>
      <c r="G21" s="14"/>
      <c r="H21" s="14"/>
      <c r="I21" s="14"/>
      <c r="J21" s="14"/>
    </row>
    <row r="22" spans="2:13" x14ac:dyDescent="0.25">
      <c r="C22" s="1"/>
      <c r="D22" s="1"/>
      <c r="E22" s="8"/>
      <c r="F22" s="1"/>
      <c r="G22" s="1"/>
      <c r="H22" s="1"/>
      <c r="I22" s="1"/>
      <c r="J22" s="1"/>
    </row>
    <row r="23" spans="2:13" x14ac:dyDescent="0.25">
      <c r="B23" t="s">
        <v>13</v>
      </c>
      <c r="C23" s="1"/>
      <c r="D23" s="1"/>
      <c r="E23" s="8"/>
      <c r="F23" s="1"/>
      <c r="G23" s="1"/>
      <c r="H23" s="1"/>
      <c r="I23" s="1"/>
      <c r="J23" s="1"/>
    </row>
    <row r="24" spans="2:13" x14ac:dyDescent="0.25">
      <c r="B24" s="9" t="s">
        <v>14</v>
      </c>
      <c r="C24" s="1"/>
      <c r="D24" s="1"/>
      <c r="E24" s="1"/>
      <c r="F24" s="1"/>
      <c r="G24" s="1"/>
      <c r="H24" s="1"/>
      <c r="I24" s="1"/>
      <c r="J24" s="1"/>
    </row>
    <row r="25" spans="2:13" x14ac:dyDescent="0.25">
      <c r="C25" s="1"/>
      <c r="D25" s="1"/>
      <c r="E25" s="15"/>
      <c r="F25" s="1"/>
      <c r="G25" s="1"/>
      <c r="H25" s="1"/>
      <c r="I25" s="1"/>
      <c r="J25" s="1"/>
    </row>
    <row r="26" spans="2:13" x14ac:dyDescent="0.25">
      <c r="B26" t="s">
        <v>41</v>
      </c>
      <c r="C26" s="6">
        <v>40613.240555555552</v>
      </c>
      <c r="D26" s="1" t="s">
        <v>21</v>
      </c>
      <c r="E26" s="15"/>
      <c r="G26" s="1"/>
      <c r="H26" s="7"/>
      <c r="I26" s="1"/>
      <c r="J26" s="1"/>
    </row>
    <row r="27" spans="2:13" x14ac:dyDescent="0.25">
      <c r="C27" s="1"/>
      <c r="D27" s="1"/>
      <c r="E27" s="1"/>
      <c r="F27" s="1"/>
      <c r="G27" s="1"/>
      <c r="H27" s="1"/>
      <c r="I27" s="1"/>
      <c r="J27" s="1"/>
    </row>
    <row r="28" spans="2:13" x14ac:dyDescent="0.25">
      <c r="C28" s="1"/>
      <c r="D28" s="1"/>
      <c r="E28" s="1"/>
      <c r="F28" s="1"/>
      <c r="G28" s="1"/>
      <c r="H28" s="1"/>
      <c r="I28" s="1"/>
      <c r="J28" s="1"/>
    </row>
    <row r="29" spans="2:13" x14ac:dyDescent="0.25">
      <c r="C29" s="1"/>
      <c r="D29" s="1"/>
      <c r="E29" s="1"/>
      <c r="F29" s="1"/>
      <c r="G29" s="1"/>
      <c r="H29" s="1"/>
      <c r="I29" s="1"/>
      <c r="J29" s="1"/>
    </row>
    <row r="30" spans="2:13" x14ac:dyDescent="0.25">
      <c r="C30" s="1"/>
      <c r="D30" s="1"/>
      <c r="E30" s="1"/>
      <c r="F30" s="1"/>
      <c r="G30" s="1"/>
      <c r="H30" s="1"/>
      <c r="I30" s="1"/>
      <c r="J30" s="1"/>
    </row>
    <row r="31" spans="2:13" x14ac:dyDescent="0.25">
      <c r="C31" s="1"/>
      <c r="D31" s="1"/>
      <c r="E31" s="1"/>
      <c r="F31" s="1"/>
      <c r="G31" s="1"/>
      <c r="H31" s="1"/>
      <c r="I31" s="1"/>
      <c r="J31" s="1"/>
    </row>
    <row r="32" spans="2:13" x14ac:dyDescent="0.25">
      <c r="C32" s="1"/>
      <c r="D32" s="1"/>
      <c r="E32" s="1"/>
      <c r="F32" s="1"/>
      <c r="G32" s="1"/>
      <c r="H32" s="1"/>
      <c r="I32" s="1"/>
      <c r="J32" s="1"/>
    </row>
  </sheetData>
  <mergeCells count="1">
    <mergeCell ref="C3:D3"/>
  </mergeCells>
  <hyperlinks>
    <hyperlink ref="B24" r:id="rId1"/>
  </hyperlinks>
  <printOptions gridLines="1"/>
  <pageMargins left="0.75" right="0.75" top="1" bottom="1" header="0.5" footer="0.5"/>
  <pageSetup orientation="landscape" horizontalDpi="1200" verticalDpi="1200"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4"/>
  <sheetViews>
    <sheetView tabSelected="1" topLeftCell="A7" workbookViewId="0">
      <selection activeCell="D30" sqref="D30"/>
    </sheetView>
  </sheetViews>
  <sheetFormatPr defaultRowHeight="13.2" x14ac:dyDescent="0.25"/>
  <cols>
    <col min="1" max="1" width="6.77734375" style="20" customWidth="1"/>
    <col min="2" max="2" width="28.6640625" style="20" customWidth="1"/>
    <col min="3" max="3" width="8.88671875" style="20"/>
    <col min="4" max="4" width="11.5546875" style="21" bestFit="1" customWidth="1"/>
    <col min="5" max="5" width="15.88671875" style="20" bestFit="1" customWidth="1"/>
    <col min="6" max="6" width="5.44140625" style="20" customWidth="1"/>
    <col min="7" max="10" width="9.109375" style="20" customWidth="1"/>
    <col min="11" max="11" width="8" style="20" customWidth="1"/>
    <col min="12" max="12" width="8.44140625" style="20" customWidth="1"/>
    <col min="13" max="15" width="9.109375" style="20" customWidth="1"/>
    <col min="16" max="16" width="12.5546875" style="20" bestFit="1" customWidth="1"/>
    <col min="17" max="17" width="9.109375" style="21" customWidth="1"/>
    <col min="18" max="16384" width="8.88671875" style="20"/>
  </cols>
  <sheetData>
    <row r="1" spans="2:17" x14ac:dyDescent="0.25">
      <c r="B1" s="20" t="s">
        <v>55</v>
      </c>
    </row>
    <row r="3" spans="2:17" x14ac:dyDescent="0.25">
      <c r="C3" s="22" t="s">
        <v>1</v>
      </c>
      <c r="D3" s="22"/>
      <c r="E3" s="21" t="s">
        <v>21</v>
      </c>
      <c r="F3" s="21"/>
      <c r="G3" s="21" t="s">
        <v>29</v>
      </c>
      <c r="H3" s="21" t="s">
        <v>28</v>
      </c>
      <c r="I3" s="21"/>
      <c r="J3" s="21"/>
      <c r="M3" s="21"/>
      <c r="N3" s="21"/>
      <c r="O3" s="21"/>
    </row>
    <row r="4" spans="2:17" x14ac:dyDescent="0.25">
      <c r="C4" s="21" t="s">
        <v>2</v>
      </c>
      <c r="D4" s="21" t="s">
        <v>3</v>
      </c>
      <c r="E4" s="21" t="s">
        <v>22</v>
      </c>
      <c r="F4" s="23" t="s">
        <v>36</v>
      </c>
      <c r="G4" s="23" t="s">
        <v>23</v>
      </c>
      <c r="H4" s="23" t="s">
        <v>24</v>
      </c>
      <c r="I4" s="23" t="s">
        <v>31</v>
      </c>
      <c r="J4" s="23"/>
      <c r="K4" s="20" t="s">
        <v>56</v>
      </c>
      <c r="L4" s="20" t="s">
        <v>57</v>
      </c>
      <c r="M4" s="23"/>
      <c r="N4" s="23"/>
      <c r="O4" s="23"/>
      <c r="P4" s="23" t="s">
        <v>58</v>
      </c>
      <c r="Q4" s="23" t="s">
        <v>59</v>
      </c>
    </row>
    <row r="5" spans="2:17" x14ac:dyDescent="0.25">
      <c r="B5" s="20" t="s">
        <v>60</v>
      </c>
      <c r="C5" s="24">
        <v>0</v>
      </c>
      <c r="D5" s="24">
        <v>0</v>
      </c>
      <c r="E5" s="25">
        <v>40236.273611111108</v>
      </c>
      <c r="F5" s="26"/>
      <c r="G5" s="27" t="s">
        <v>27</v>
      </c>
      <c r="H5" s="21"/>
      <c r="I5" s="21"/>
      <c r="J5" s="21"/>
      <c r="K5" s="20">
        <v>-36.122</v>
      </c>
      <c r="L5" s="20">
        <v>-72.897999999999996</v>
      </c>
      <c r="M5" s="21"/>
      <c r="N5" s="21"/>
      <c r="O5" s="21"/>
    </row>
    <row r="7" spans="2:17" s="34" customFormat="1" x14ac:dyDescent="0.25">
      <c r="B7" s="28" t="s">
        <v>61</v>
      </c>
      <c r="C7" s="29"/>
      <c r="D7" s="30">
        <v>643</v>
      </c>
      <c r="E7" s="31">
        <v>40236.359722222223</v>
      </c>
      <c r="F7" s="32">
        <f>(E7-$E$5)</f>
        <v>8.6111111115314998E-2</v>
      </c>
      <c r="G7" s="29">
        <f>F7*86400</f>
        <v>7440.0000003632158</v>
      </c>
      <c r="H7" s="33">
        <f>(D7*1000)/G7</f>
        <v>86.424731178576508</v>
      </c>
      <c r="I7" s="29">
        <f>(H7^2)/9.8</f>
        <v>762.166750947879</v>
      </c>
      <c r="K7" s="28">
        <v>-41.866999999999997</v>
      </c>
      <c r="L7" s="28">
        <v>-73.849999999999994</v>
      </c>
      <c r="P7" s="28">
        <v>0.62</v>
      </c>
      <c r="Q7" s="35">
        <v>84</v>
      </c>
    </row>
    <row r="8" spans="2:17" s="34" customFormat="1" x14ac:dyDescent="0.25">
      <c r="B8" s="28" t="s">
        <v>62</v>
      </c>
      <c r="C8" s="29"/>
      <c r="D8" s="30">
        <v>1403</v>
      </c>
      <c r="E8" s="31">
        <v>40236.40347222222</v>
      </c>
      <c r="F8" s="32">
        <f>(E8-$E$5)</f>
        <v>0.12986111111240461</v>
      </c>
      <c r="G8" s="29">
        <f t="shared" ref="G8:G21" si="0">F8*86400</f>
        <v>11220.000000111759</v>
      </c>
      <c r="H8" s="33">
        <f>(D8*1000)/G8</f>
        <v>125.04456327861188</v>
      </c>
      <c r="I8" s="29">
        <f t="shared" ref="I8:I21" si="1">(H8^2)/9.8</f>
        <v>1595.5247760753846</v>
      </c>
      <c r="K8" s="28">
        <v>-23.65</v>
      </c>
      <c r="L8" s="28">
        <v>-70.400000000000006</v>
      </c>
      <c r="P8" s="28">
        <v>0.49</v>
      </c>
      <c r="Q8" s="35">
        <v>52</v>
      </c>
    </row>
    <row r="9" spans="2:17" s="34" customFormat="1" x14ac:dyDescent="0.25">
      <c r="B9" s="28" t="s">
        <v>63</v>
      </c>
      <c r="C9" s="29"/>
      <c r="D9" s="30">
        <v>2700</v>
      </c>
      <c r="E9" s="31">
        <v>40236.44027777778</v>
      </c>
      <c r="F9" s="32">
        <f>(E9-$E$5)</f>
        <v>0.16666666667151731</v>
      </c>
      <c r="G9" s="29">
        <f t="shared" si="0"/>
        <v>14400.000000419095</v>
      </c>
      <c r="H9" s="33">
        <f>(D9*1000)/G9</f>
        <v>187.49999999454303</v>
      </c>
      <c r="I9" s="29">
        <f t="shared" si="1"/>
        <v>3587.3724487707791</v>
      </c>
      <c r="K9" s="28">
        <v>-12.05</v>
      </c>
      <c r="L9" s="28">
        <v>-77.150000000000006</v>
      </c>
      <c r="P9" s="28">
        <v>0.36</v>
      </c>
      <c r="Q9" s="35">
        <v>30</v>
      </c>
    </row>
    <row r="10" spans="2:17" s="34" customFormat="1" x14ac:dyDescent="0.25">
      <c r="B10" s="28" t="s">
        <v>64</v>
      </c>
      <c r="C10" s="29"/>
      <c r="D10" s="30">
        <v>10080</v>
      </c>
      <c r="E10" s="31">
        <v>40236.925694444442</v>
      </c>
      <c r="F10" s="32">
        <f>(E10-$E$5)</f>
        <v>0.65208333333430346</v>
      </c>
      <c r="G10" s="29">
        <f t="shared" si="0"/>
        <v>56340.000000083819</v>
      </c>
      <c r="H10" s="33">
        <f>(D10*1000)/G10</f>
        <v>178.91373801890316</v>
      </c>
      <c r="I10" s="29">
        <f t="shared" si="1"/>
        <v>3266.3393522343581</v>
      </c>
      <c r="K10" s="28">
        <v>41.756</v>
      </c>
      <c r="L10" s="28">
        <v>-124.18</v>
      </c>
      <c r="P10" s="28">
        <v>0.37</v>
      </c>
      <c r="Q10" s="35">
        <v>50</v>
      </c>
    </row>
    <row r="11" spans="2:17" s="34" customFormat="1" x14ac:dyDescent="0.25">
      <c r="B11" s="28" t="s">
        <v>65</v>
      </c>
      <c r="C11" s="29"/>
      <c r="D11" s="30">
        <v>16660</v>
      </c>
      <c r="E11" s="31">
        <v>40237.275000000001</v>
      </c>
      <c r="F11" s="32">
        <f>(E11-$E$5)</f>
        <v>1.0013888888934162</v>
      </c>
      <c r="G11" s="29">
        <f t="shared" si="0"/>
        <v>86520.000000391155</v>
      </c>
      <c r="H11" s="33">
        <f>(D11*1000)/G11</f>
        <v>192.55663430333658</v>
      </c>
      <c r="I11" s="29">
        <f t="shared" si="1"/>
        <v>3783.4752463498871</v>
      </c>
      <c r="K11" s="28">
        <v>43.283000000000001</v>
      </c>
      <c r="L11" s="28">
        <v>145.56700000000001</v>
      </c>
      <c r="P11" s="28">
        <v>0.82</v>
      </c>
      <c r="Q11" s="35">
        <v>24</v>
      </c>
    </row>
    <row r="12" spans="2:17" s="34" customFormat="1" x14ac:dyDescent="0.25">
      <c r="B12" s="28" t="s">
        <v>65</v>
      </c>
      <c r="C12" s="29"/>
      <c r="D12" s="30">
        <v>16660</v>
      </c>
      <c r="E12" s="31">
        <v>40237.205555555556</v>
      </c>
      <c r="F12" s="32">
        <f>(E12-$E$5)</f>
        <v>0.93194444444816327</v>
      </c>
      <c r="G12" s="29">
        <f t="shared" si="0"/>
        <v>80520.000000321306</v>
      </c>
      <c r="H12" s="33">
        <f>(D12*1000)/G12</f>
        <v>206.90511674035668</v>
      </c>
      <c r="I12" s="29">
        <f t="shared" si="1"/>
        <v>4368.3395238102676</v>
      </c>
      <c r="K12" s="28">
        <v>43.283000000000001</v>
      </c>
      <c r="L12" s="28">
        <v>145.56700000000001</v>
      </c>
      <c r="P12" s="28">
        <v>0.82</v>
      </c>
      <c r="Q12" s="35">
        <v>24</v>
      </c>
    </row>
    <row r="13" spans="2:17" s="34" customFormat="1" x14ac:dyDescent="0.25">
      <c r="B13" s="36" t="s">
        <v>66</v>
      </c>
      <c r="C13" s="28"/>
      <c r="D13" s="35">
        <v>10798</v>
      </c>
      <c r="E13" s="37">
        <v>40236.961111111108</v>
      </c>
      <c r="F13" s="32">
        <f>(E13-$E$5)</f>
        <v>0.6875</v>
      </c>
      <c r="G13" s="29">
        <f t="shared" si="0"/>
        <v>59400</v>
      </c>
      <c r="H13" s="33">
        <f>(D13*1000)/G13</f>
        <v>181.78451178451178</v>
      </c>
      <c r="I13" s="29">
        <f t="shared" si="1"/>
        <v>3372.0008902789077</v>
      </c>
      <c r="K13" s="28">
        <v>49.152999999999999</v>
      </c>
      <c r="L13" s="28">
        <v>-125.913</v>
      </c>
      <c r="Q13" s="38"/>
    </row>
    <row r="14" spans="2:17" s="34" customFormat="1" x14ac:dyDescent="0.25">
      <c r="B14" s="36" t="s">
        <v>67</v>
      </c>
      <c r="C14" s="28"/>
      <c r="D14" s="35">
        <f>8821+2185</f>
        <v>11006</v>
      </c>
      <c r="E14" s="37">
        <v>40236.961111111108</v>
      </c>
      <c r="F14" s="32">
        <f>(E14-$E$5)</f>
        <v>0.6875</v>
      </c>
      <c r="G14" s="29">
        <f t="shared" si="0"/>
        <v>59400</v>
      </c>
      <c r="H14" s="33">
        <f>(D14*1000)/G14</f>
        <v>185.28619528619529</v>
      </c>
      <c r="I14" s="29">
        <f t="shared" si="1"/>
        <v>3503.1606289422548</v>
      </c>
      <c r="K14" s="28"/>
      <c r="L14" s="28"/>
      <c r="Q14" s="38"/>
    </row>
    <row r="15" spans="2:17" s="34" customFormat="1" x14ac:dyDescent="0.25">
      <c r="B15" s="36" t="s">
        <v>68</v>
      </c>
      <c r="C15" s="28"/>
      <c r="D15" s="35">
        <v>12751</v>
      </c>
      <c r="E15" s="37">
        <v>40237.104861111111</v>
      </c>
      <c r="F15" s="32">
        <f>(E15-$E$5)</f>
        <v>0.83125000000291038</v>
      </c>
      <c r="G15" s="29">
        <f t="shared" si="0"/>
        <v>71820.000000251457</v>
      </c>
      <c r="H15" s="33">
        <f>(D15*1000)/G15</f>
        <v>177.54107490887435</v>
      </c>
      <c r="I15" s="29">
        <f t="shared" si="1"/>
        <v>3216.4115591631157</v>
      </c>
      <c r="K15" s="28">
        <v>57.716999999999999</v>
      </c>
      <c r="L15" s="28">
        <v>-152.517</v>
      </c>
      <c r="Q15" s="38"/>
    </row>
    <row r="16" spans="2:17" s="34" customFormat="1" x14ac:dyDescent="0.25">
      <c r="B16" s="36" t="s">
        <v>69</v>
      </c>
      <c r="C16" s="28"/>
      <c r="D16" s="35">
        <f>8821+3965</f>
        <v>12786</v>
      </c>
      <c r="E16" s="37">
        <v>40237.104861111111</v>
      </c>
      <c r="F16" s="32">
        <f>(E16-$E$5)</f>
        <v>0.83125000000291038</v>
      </c>
      <c r="G16" s="29">
        <f t="shared" si="0"/>
        <v>71820.000000251457</v>
      </c>
      <c r="H16" s="33">
        <f>(D16*1000)/G16</f>
        <v>178.02840434357051</v>
      </c>
      <c r="I16" s="29">
        <f t="shared" si="1"/>
        <v>3234.0931380732482</v>
      </c>
      <c r="K16" s="28"/>
      <c r="L16" s="28"/>
      <c r="Q16" s="38"/>
    </row>
    <row r="17" spans="2:17" s="34" customFormat="1" x14ac:dyDescent="0.25">
      <c r="B17" s="36" t="s">
        <v>70</v>
      </c>
      <c r="C17" s="28"/>
      <c r="D17" s="35">
        <v>12728</v>
      </c>
      <c r="E17" s="37">
        <v>40237.071527777778</v>
      </c>
      <c r="F17" s="32">
        <f>(E17-$E$5)</f>
        <v>0.79791666667006211</v>
      </c>
      <c r="G17" s="29">
        <f t="shared" si="0"/>
        <v>68940.000000293367</v>
      </c>
      <c r="H17" s="33">
        <f>(D17*1000)/G17</f>
        <v>184.62431099428252</v>
      </c>
      <c r="I17" s="29">
        <f t="shared" si="1"/>
        <v>3478.1771642973013</v>
      </c>
      <c r="K17" s="28">
        <v>60.119</v>
      </c>
      <c r="L17" s="28">
        <v>-149.42699999999999</v>
      </c>
      <c r="Q17" s="38"/>
    </row>
    <row r="18" spans="2:17" s="34" customFormat="1" x14ac:dyDescent="0.25">
      <c r="B18" s="36" t="s">
        <v>71</v>
      </c>
      <c r="C18" s="28"/>
      <c r="D18" s="35">
        <f>8821+4001</f>
        <v>12822</v>
      </c>
      <c r="E18" s="37">
        <v>40237.071527777778</v>
      </c>
      <c r="F18" s="32">
        <f>(E18-$E$5)</f>
        <v>0.79791666667006211</v>
      </c>
      <c r="G18" s="29">
        <f t="shared" si="0"/>
        <v>68940.000000293367</v>
      </c>
      <c r="H18" s="33">
        <f>(D18*1000)/G18</f>
        <v>185.98781549094048</v>
      </c>
      <c r="I18" s="29">
        <f t="shared" si="1"/>
        <v>3529.7415827645013</v>
      </c>
      <c r="K18" s="28"/>
      <c r="L18" s="28"/>
      <c r="Q18" s="38"/>
    </row>
    <row r="19" spans="2:17" s="34" customFormat="1" x14ac:dyDescent="0.25">
      <c r="B19" s="28" t="s">
        <v>72</v>
      </c>
      <c r="C19" s="28"/>
      <c r="D19" s="35">
        <v>10804</v>
      </c>
      <c r="E19" s="37">
        <v>40236.907638888886</v>
      </c>
      <c r="F19" s="32">
        <f>(E19-$E$5)</f>
        <v>0.63402777777810115</v>
      </c>
      <c r="G19" s="29">
        <f t="shared" si="0"/>
        <v>54780.00000002794</v>
      </c>
      <c r="H19" s="33">
        <f>(D19*1000)/G19</f>
        <v>197.22526469504362</v>
      </c>
      <c r="I19" s="29">
        <f t="shared" si="1"/>
        <v>3969.1637789826545</v>
      </c>
      <c r="K19" s="28">
        <v>20.898</v>
      </c>
      <c r="L19" s="28">
        <v>-156.47200000000001</v>
      </c>
      <c r="Q19" s="38"/>
    </row>
    <row r="20" spans="2:17" s="34" customFormat="1" x14ac:dyDescent="0.25">
      <c r="B20" s="28" t="s">
        <v>73</v>
      </c>
      <c r="C20" s="28"/>
      <c r="D20" s="35">
        <v>9015</v>
      </c>
      <c r="E20" s="37">
        <v>40236.819444444445</v>
      </c>
      <c r="F20" s="32">
        <f>(E20-$E$5)</f>
        <v>0.54583333333721384</v>
      </c>
      <c r="G20" s="29">
        <f t="shared" si="0"/>
        <v>47160.000000335276</v>
      </c>
      <c r="H20" s="33">
        <f>(D20*1000)/G20</f>
        <v>191.15776081289036</v>
      </c>
      <c r="I20" s="29">
        <f t="shared" si="1"/>
        <v>3728.7030121426733</v>
      </c>
      <c r="K20" s="28">
        <v>-41.284999999999997</v>
      </c>
      <c r="L20" s="28">
        <v>174.779</v>
      </c>
      <c r="Q20" s="38"/>
    </row>
    <row r="21" spans="2:17" s="34" customFormat="1" x14ac:dyDescent="0.25">
      <c r="B21" s="28" t="s">
        <v>74</v>
      </c>
      <c r="C21" s="28"/>
      <c r="D21" s="35">
        <v>13964</v>
      </c>
      <c r="E21" s="37">
        <v>40237.124305555553</v>
      </c>
      <c r="F21" s="32">
        <f>(E21-$E$5)</f>
        <v>0.85069444444525288</v>
      </c>
      <c r="G21" s="29">
        <f t="shared" si="0"/>
        <v>73500.000000069849</v>
      </c>
      <c r="H21" s="33">
        <f>(D21*1000)/G21</f>
        <v>189.98639455764257</v>
      </c>
      <c r="I21" s="29">
        <f t="shared" si="1"/>
        <v>3683.1459303073707</v>
      </c>
      <c r="K21" s="28">
        <v>19.283000000000001</v>
      </c>
      <c r="L21" s="28">
        <v>166.61699999999999</v>
      </c>
      <c r="Q21" s="38"/>
    </row>
    <row r="22" spans="2:17" s="34" customFormat="1" x14ac:dyDescent="0.25">
      <c r="D22" s="38"/>
      <c r="E22" s="39"/>
      <c r="F22" s="40"/>
      <c r="G22" s="41"/>
      <c r="H22" s="42"/>
      <c r="I22" s="41"/>
      <c r="Q22" s="38"/>
    </row>
    <row r="23" spans="2:17" s="34" customFormat="1" x14ac:dyDescent="0.25">
      <c r="D23" s="38"/>
      <c r="E23" s="39"/>
      <c r="F23" s="40"/>
      <c r="G23" s="41"/>
      <c r="H23" s="42"/>
      <c r="I23" s="41"/>
      <c r="Q23" s="38"/>
    </row>
    <row r="24" spans="2:17" s="34" customFormat="1" x14ac:dyDescent="0.25">
      <c r="D24" s="38"/>
      <c r="E24" s="39"/>
      <c r="F24" s="40"/>
      <c r="G24" s="41"/>
      <c r="H24" s="42"/>
      <c r="I24" s="41"/>
      <c r="Q24" s="38"/>
    </row>
    <row r="25" spans="2:17" s="34" customFormat="1" x14ac:dyDescent="0.25">
      <c r="D25" s="38"/>
      <c r="E25" s="39"/>
      <c r="F25" s="40"/>
      <c r="G25" s="41"/>
      <c r="H25" s="42"/>
      <c r="I25" s="41"/>
      <c r="Q25" s="38"/>
    </row>
    <row r="26" spans="2:17" s="34" customFormat="1" x14ac:dyDescent="0.25">
      <c r="D26" s="38"/>
      <c r="E26" s="39"/>
      <c r="F26" s="40"/>
      <c r="G26" s="41"/>
      <c r="H26" s="42"/>
      <c r="I26" s="41"/>
      <c r="Q26" s="38"/>
    </row>
    <row r="27" spans="2:17" s="34" customFormat="1" x14ac:dyDescent="0.25">
      <c r="D27" s="38"/>
      <c r="E27" s="39"/>
      <c r="F27" s="40"/>
      <c r="G27" s="41"/>
      <c r="H27" s="42"/>
      <c r="I27" s="41"/>
      <c r="Q27" s="38"/>
    </row>
    <row r="28" spans="2:17" s="34" customFormat="1" x14ac:dyDescent="0.25">
      <c r="D28" s="38"/>
      <c r="E28" s="39"/>
      <c r="F28" s="40"/>
      <c r="G28" s="41"/>
      <c r="H28" s="42"/>
      <c r="I28" s="41"/>
      <c r="Q28" s="38"/>
    </row>
    <row r="29" spans="2:17" s="34" customFormat="1" x14ac:dyDescent="0.25">
      <c r="D29" s="38"/>
      <c r="E29" s="39"/>
      <c r="F29" s="40"/>
      <c r="G29" s="41"/>
      <c r="H29" s="42"/>
      <c r="I29" s="41"/>
      <c r="Q29" s="38"/>
    </row>
    <row r="30" spans="2:17" s="34" customFormat="1" x14ac:dyDescent="0.25">
      <c r="D30" s="38"/>
      <c r="E30" s="39"/>
      <c r="F30" s="40"/>
      <c r="G30" s="41"/>
      <c r="H30" s="42"/>
      <c r="I30" s="41"/>
      <c r="Q30" s="38"/>
    </row>
    <row r="31" spans="2:17" s="34" customFormat="1" x14ac:dyDescent="0.25">
      <c r="D31" s="38"/>
      <c r="E31" s="39"/>
      <c r="F31" s="40"/>
      <c r="G31" s="41"/>
      <c r="H31" s="42"/>
      <c r="I31" s="41"/>
      <c r="Q31" s="38"/>
    </row>
    <row r="32" spans="2:17" s="34" customFormat="1" x14ac:dyDescent="0.25">
      <c r="D32" s="38"/>
      <c r="E32" s="39"/>
      <c r="F32" s="40"/>
      <c r="G32" s="41"/>
      <c r="H32" s="42"/>
      <c r="I32" s="41"/>
      <c r="Q32" s="38"/>
    </row>
    <row r="33" spans="4:17" s="34" customFormat="1" x14ac:dyDescent="0.25">
      <c r="D33" s="38"/>
      <c r="E33" s="39"/>
      <c r="F33" s="40"/>
      <c r="G33" s="41"/>
      <c r="H33" s="42"/>
      <c r="I33" s="41"/>
      <c r="Q33" s="38"/>
    </row>
    <row r="34" spans="4:17" s="34" customFormat="1" x14ac:dyDescent="0.25">
      <c r="D34" s="38"/>
      <c r="E34" s="39"/>
      <c r="F34" s="40"/>
      <c r="G34" s="41"/>
      <c r="H34" s="42"/>
      <c r="I34" s="41"/>
      <c r="Q34" s="38"/>
    </row>
  </sheetData>
  <mergeCells count="1">
    <mergeCell ref="C3:D3"/>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workbookViewId="0">
      <selection activeCell="B25" sqref="B25"/>
    </sheetView>
  </sheetViews>
  <sheetFormatPr defaultRowHeight="13.2" x14ac:dyDescent="0.25"/>
  <cols>
    <col min="2" max="2" width="32.44140625" customWidth="1"/>
    <col min="3" max="3" width="10.44140625" customWidth="1"/>
    <col min="7" max="7" width="10.33203125" bestFit="1" customWidth="1"/>
    <col min="8" max="8" width="10.33203125" customWidth="1"/>
    <col min="9" max="9" width="11.5546875" bestFit="1" customWidth="1"/>
  </cols>
  <sheetData>
    <row r="1" spans="2:9" x14ac:dyDescent="0.25">
      <c r="B1" t="s">
        <v>50</v>
      </c>
    </row>
    <row r="2" spans="2:9" x14ac:dyDescent="0.25">
      <c r="B2" t="s">
        <v>39</v>
      </c>
    </row>
    <row r="4" spans="2:9" x14ac:dyDescent="0.25">
      <c r="C4" s="19" t="s">
        <v>1</v>
      </c>
      <c r="D4" s="19"/>
      <c r="E4" s="1"/>
      <c r="F4" s="1"/>
    </row>
    <row r="5" spans="2:9" x14ac:dyDescent="0.25">
      <c r="C5" s="1" t="s">
        <v>2</v>
      </c>
      <c r="D5" s="1" t="s">
        <v>3</v>
      </c>
      <c r="E5" s="1" t="s">
        <v>16</v>
      </c>
      <c r="F5" s="1" t="s">
        <v>17</v>
      </c>
      <c r="G5" t="s">
        <v>18</v>
      </c>
      <c r="H5" s="1" t="s">
        <v>19</v>
      </c>
      <c r="I5" t="s">
        <v>4</v>
      </c>
    </row>
    <row r="6" spans="2:9" x14ac:dyDescent="0.25">
      <c r="B6" t="s">
        <v>0</v>
      </c>
      <c r="C6" s="1">
        <v>0</v>
      </c>
      <c r="D6" s="1">
        <v>0</v>
      </c>
      <c r="E6" s="1">
        <v>0</v>
      </c>
      <c r="F6" s="2">
        <f>3.13*SQRT(E6)</f>
        <v>0</v>
      </c>
      <c r="G6" s="3">
        <v>0</v>
      </c>
      <c r="H6" s="4">
        <f>G6/3600</f>
        <v>0</v>
      </c>
      <c r="I6" s="5"/>
    </row>
    <row r="7" spans="2:9" x14ac:dyDescent="0.25">
      <c r="B7" t="s">
        <v>5</v>
      </c>
      <c r="C7" s="1">
        <v>1025</v>
      </c>
      <c r="D7" s="1">
        <v>1898</v>
      </c>
      <c r="E7" s="1">
        <v>3800</v>
      </c>
      <c r="F7" s="2">
        <f t="shared" ref="F7:F15" si="0">3.13*SQRT(E7)</f>
        <v>192.94615829292897</v>
      </c>
      <c r="G7" s="3">
        <f t="shared" ref="G7:G15" si="1">D7*1000/F7</f>
        <v>9836.9411279932046</v>
      </c>
      <c r="H7" s="4">
        <f t="shared" ref="H7:H15" si="2">G7/3600</f>
        <v>2.7324836466647793</v>
      </c>
      <c r="I7" s="5"/>
    </row>
    <row r="8" spans="2:9" x14ac:dyDescent="0.25">
      <c r="B8" t="s">
        <v>6</v>
      </c>
      <c r="C8" s="1">
        <v>249</v>
      </c>
      <c r="D8" s="1">
        <v>461</v>
      </c>
      <c r="E8" s="1">
        <v>150</v>
      </c>
      <c r="F8" s="2">
        <f t="shared" si="0"/>
        <v>38.334514474556734</v>
      </c>
      <c r="G8" s="3">
        <f t="shared" si="1"/>
        <v>12025.716415580886</v>
      </c>
      <c r="H8" s="4">
        <f t="shared" si="2"/>
        <v>3.3404767821058017</v>
      </c>
      <c r="I8" s="5"/>
    </row>
    <row r="9" spans="2:9" x14ac:dyDescent="0.25">
      <c r="B9" t="s">
        <v>7</v>
      </c>
      <c r="C9" s="1">
        <v>1437</v>
      </c>
      <c r="D9" s="1">
        <v>2661</v>
      </c>
      <c r="E9" s="1">
        <v>3800</v>
      </c>
      <c r="F9" s="2">
        <f t="shared" si="0"/>
        <v>192.94615829292897</v>
      </c>
      <c r="G9" s="3">
        <f t="shared" si="1"/>
        <v>13791.412192618502</v>
      </c>
      <c r="H9" s="4">
        <f t="shared" si="2"/>
        <v>3.8309478312829173</v>
      </c>
      <c r="I9" s="5"/>
    </row>
    <row r="10" spans="2:9" x14ac:dyDescent="0.25">
      <c r="B10" t="s">
        <v>8</v>
      </c>
      <c r="C10" s="1">
        <v>2426</v>
      </c>
      <c r="D10" s="1">
        <v>4493</v>
      </c>
      <c r="E10" s="1">
        <v>3800</v>
      </c>
      <c r="F10" s="2">
        <f t="shared" si="0"/>
        <v>192.94615829292897</v>
      </c>
      <c r="G10" s="3">
        <f t="shared" si="1"/>
        <v>23286.288982125112</v>
      </c>
      <c r="H10" s="4">
        <f t="shared" si="2"/>
        <v>6.4684136061458641</v>
      </c>
      <c r="I10" s="5"/>
    </row>
    <row r="11" spans="2:9" x14ac:dyDescent="0.25">
      <c r="B11" t="s">
        <v>9</v>
      </c>
      <c r="C11" s="1">
        <v>2602</v>
      </c>
      <c r="D11" s="1">
        <v>4819</v>
      </c>
      <c r="E11" s="1">
        <v>3800</v>
      </c>
      <c r="F11" s="2">
        <f t="shared" si="0"/>
        <v>192.94615829292897</v>
      </c>
      <c r="G11" s="3">
        <f t="shared" si="1"/>
        <v>24975.879502528584</v>
      </c>
      <c r="H11" s="4">
        <f t="shared" si="2"/>
        <v>6.9377443062579403</v>
      </c>
      <c r="I11" s="5"/>
    </row>
    <row r="12" spans="2:9" x14ac:dyDescent="0.25">
      <c r="B12" t="s">
        <v>10</v>
      </c>
      <c r="C12" s="1">
        <v>3707</v>
      </c>
      <c r="D12" s="1">
        <v>6867</v>
      </c>
      <c r="E12" s="1">
        <v>3800</v>
      </c>
      <c r="F12" s="2">
        <f t="shared" si="0"/>
        <v>192.94615829292897</v>
      </c>
      <c r="G12" s="3">
        <f t="shared" si="1"/>
        <v>35590.239581627677</v>
      </c>
      <c r="H12" s="4">
        <f t="shared" si="2"/>
        <v>9.8861776615632433</v>
      </c>
      <c r="I12" s="5"/>
    </row>
    <row r="13" spans="2:9" x14ac:dyDescent="0.25">
      <c r="B13" t="s">
        <v>15</v>
      </c>
      <c r="C13" s="1">
        <v>5480</v>
      </c>
      <c r="D13" s="1">
        <v>10148</v>
      </c>
      <c r="E13" s="1">
        <v>3800</v>
      </c>
      <c r="F13" s="2">
        <f t="shared" si="0"/>
        <v>192.94615829292897</v>
      </c>
      <c r="G13" s="3">
        <f t="shared" si="1"/>
        <v>52594.983438817195</v>
      </c>
      <c r="H13" s="4">
        <f t="shared" si="2"/>
        <v>14.609717621893665</v>
      </c>
      <c r="I13" s="5"/>
    </row>
    <row r="14" spans="2:9" x14ac:dyDescent="0.25">
      <c r="B14" t="s">
        <v>11</v>
      </c>
      <c r="C14" s="1">
        <v>35</v>
      </c>
      <c r="D14" s="1">
        <v>65</v>
      </c>
      <c r="E14" s="1">
        <v>50</v>
      </c>
      <c r="F14" s="2">
        <f t="shared" si="0"/>
        <v>22.132442251138936</v>
      </c>
      <c r="G14" s="3">
        <f t="shared" si="1"/>
        <v>2936.8652253754371</v>
      </c>
      <c r="H14" s="4">
        <f t="shared" si="2"/>
        <v>0.81579589593762147</v>
      </c>
      <c r="I14" s="5"/>
    </row>
    <row r="15" spans="2:9" x14ac:dyDescent="0.25">
      <c r="B15" t="s">
        <v>12</v>
      </c>
      <c r="C15" s="1">
        <v>58</v>
      </c>
      <c r="D15" s="1">
        <v>108</v>
      </c>
      <c r="E15" s="1">
        <v>50</v>
      </c>
      <c r="F15" s="2">
        <f t="shared" si="0"/>
        <v>22.132442251138936</v>
      </c>
      <c r="G15" s="3">
        <f t="shared" si="1"/>
        <v>4879.7145283161108</v>
      </c>
      <c r="H15" s="4">
        <f t="shared" si="2"/>
        <v>1.3554762578655863</v>
      </c>
      <c r="I15" s="5"/>
    </row>
    <row r="16" spans="2:9" x14ac:dyDescent="0.25">
      <c r="C16" s="1"/>
      <c r="D16" s="1"/>
      <c r="E16" s="1"/>
      <c r="F16" s="1"/>
    </row>
    <row r="17" spans="2:6" x14ac:dyDescent="0.25">
      <c r="C17" s="1"/>
      <c r="D17" s="1"/>
      <c r="E17" s="1"/>
      <c r="F17" s="1"/>
    </row>
    <row r="18" spans="2:6" x14ac:dyDescent="0.25">
      <c r="B18" t="s">
        <v>13</v>
      </c>
      <c r="C18" s="1"/>
      <c r="D18" s="1"/>
      <c r="E18" s="1"/>
      <c r="F18" s="1"/>
    </row>
    <row r="19" spans="2:6" x14ac:dyDescent="0.25">
      <c r="B19" t="s">
        <v>14</v>
      </c>
      <c r="C19" s="1"/>
      <c r="D19" s="1"/>
      <c r="E19" s="1"/>
      <c r="F19" s="1"/>
    </row>
    <row r="20" spans="2:6" x14ac:dyDescent="0.25">
      <c r="C20" s="1"/>
      <c r="D20" s="1"/>
      <c r="E20" s="1"/>
      <c r="F20" s="1"/>
    </row>
    <row r="21" spans="2:6" x14ac:dyDescent="0.25">
      <c r="B21" t="s">
        <v>20</v>
      </c>
      <c r="C21" s="6">
        <v>0.15</v>
      </c>
      <c r="D21" s="1" t="s">
        <v>21</v>
      </c>
      <c r="E21" s="1"/>
      <c r="F21" s="1"/>
    </row>
    <row r="22" spans="2:6" x14ac:dyDescent="0.25">
      <c r="C22" s="1"/>
      <c r="D22" s="1"/>
      <c r="E22" s="1"/>
      <c r="F22" s="1"/>
    </row>
    <row r="23" spans="2:6" x14ac:dyDescent="0.25">
      <c r="C23" s="1"/>
      <c r="D23" s="1"/>
      <c r="E23" s="1"/>
      <c r="F23" s="1"/>
    </row>
    <row r="24" spans="2:6" x14ac:dyDescent="0.25">
      <c r="C24" s="1"/>
      <c r="D24" s="1"/>
      <c r="E24" s="1"/>
      <c r="F24" s="1"/>
    </row>
    <row r="25" spans="2:6" x14ac:dyDescent="0.25">
      <c r="C25" s="1"/>
      <c r="D25" s="1"/>
      <c r="E25" s="1"/>
      <c r="F25" s="1"/>
    </row>
    <row r="26" spans="2:6" x14ac:dyDescent="0.25">
      <c r="C26" s="1"/>
      <c r="D26" s="1"/>
      <c r="E26" s="1"/>
      <c r="F26" s="1"/>
    </row>
    <row r="27" spans="2:6" x14ac:dyDescent="0.25">
      <c r="C27" s="1"/>
      <c r="D27" s="1"/>
      <c r="E27" s="1"/>
      <c r="F27" s="1"/>
    </row>
  </sheetData>
  <mergeCells count="1">
    <mergeCell ref="C4:D4"/>
  </mergeCells>
  <phoneticPr fontId="1" type="noConversion"/>
  <printOptions gridLines="1"/>
  <pageMargins left="0.75" right="0.75" top="1" bottom="1" header="0.5" footer="0.5"/>
  <pageSetup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Explanation</vt:lpstr>
      <vt:lpstr>Bache 1964 AK</vt:lpstr>
      <vt:lpstr>Bache 2011 Japan</vt:lpstr>
      <vt:lpstr>Bache 2010 Chile</vt:lpstr>
      <vt:lpstr>original</vt:lpstr>
      <vt:lpstr>'Bache 1964 AK'!Print_Area</vt:lpstr>
      <vt:lpstr>'Bache 2011 Japan'!Print_Area</vt:lpstr>
    </vt:vector>
  </TitlesOfParts>
  <Company>UNC Pembroke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Farley</dc:creator>
  <cp:lastModifiedBy>Martin Farley</cp:lastModifiedBy>
  <cp:lastPrinted>2008-10-23T19:11:39Z</cp:lastPrinted>
  <dcterms:created xsi:type="dcterms:W3CDTF">2008-05-20T19:06:04Z</dcterms:created>
  <dcterms:modified xsi:type="dcterms:W3CDTF">2013-06-11T14:04:24Z</dcterms:modified>
</cp:coreProperties>
</file>